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peguero\Desktop\Excel a Publicar Consolidados\2018\"/>
    </mc:Choice>
  </mc:AlternateContent>
  <bookViews>
    <workbookView xWindow="0" yWindow="0" windowWidth="28800" windowHeight="11235" tabRatio="893"/>
  </bookViews>
  <sheets>
    <sheet name="1. Panorama Macroeconómico" sheetId="40" r:id="rId1"/>
    <sheet name="Panorama Macroeconómico " sheetId="30" state="hidden" r:id="rId2"/>
    <sheet name="CAIF Presp. Agregado" sheetId="3" state="hidden" r:id="rId3"/>
    <sheet name="Cobertura Institucional" sheetId="5" state="hidden" r:id="rId4"/>
    <sheet name="2. Cobertura Institucional" sheetId="41" r:id="rId5"/>
    <sheet name="3. CAIF Ejecución Agregado" sheetId="43" r:id="rId6"/>
    <sheet name="4. Matriz Trans. Ejecu. Conso." sheetId="20" r:id="rId7"/>
    <sheet name="5. Matriz Trans. Form.Cons." sheetId="39" r:id="rId8"/>
    <sheet name="6. Ejecu. Consolidado Ingresos" sheetId="7" r:id="rId9"/>
    <sheet name="7. Form. Consolidado Ingreso" sheetId="22" r:id="rId10"/>
    <sheet name="8. Ejec. Consolidado Gastos" sheetId="8" r:id="rId11"/>
    <sheet name="9. Form. Consolidado Gastos" sheetId="23" r:id="rId12"/>
    <sheet name="10. CAIF Ejec. Consolidada" sheetId="9" r:id="rId13"/>
    <sheet name="11. CAIF Form. Consolidada " sheetId="24" r:id="rId14"/>
    <sheet name="Graficos" sheetId="13" state="hidden" r:id="rId15"/>
    <sheet name="12. Ejec. Consolidado Funcional" sheetId="10" r:id="rId16"/>
    <sheet name="13. Form. Consolidado Funciona " sheetId="25" r:id="rId17"/>
    <sheet name="14. Demanda Agregada" sheetId="15" r:id="rId18"/>
    <sheet name="15. Remuneraciones" sheetId="34" r:id="rId19"/>
    <sheet name="16. Sueldos Promedio " sheetId="46" r:id="rId20"/>
    <sheet name="17. Proyectos de Inversión" sheetId="37" r:id="rId21"/>
    <sheet name="Anexo 1 Matriz Trans." sheetId="45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46" l="1"/>
  <c r="G17" i="46"/>
  <c r="H16" i="46"/>
  <c r="G16" i="46"/>
  <c r="H15" i="46"/>
  <c r="G15" i="46"/>
  <c r="H14" i="46"/>
  <c r="G14" i="46"/>
  <c r="H13" i="46"/>
  <c r="G13" i="46"/>
  <c r="H12" i="46"/>
  <c r="G12" i="46"/>
  <c r="F17" i="46" l="1"/>
  <c r="E17" i="46"/>
  <c r="D17" i="46"/>
  <c r="C17" i="46"/>
  <c r="F9" i="37" l="1"/>
  <c r="G12" i="41" l="1"/>
  <c r="C14" i="41"/>
  <c r="E14" i="41"/>
  <c r="G14" i="41" l="1"/>
  <c r="D14" i="41" l="1"/>
  <c r="I9" i="41" l="1"/>
  <c r="G10" i="41"/>
  <c r="G9" i="41"/>
  <c r="G27" i="43" l="1"/>
  <c r="H27" i="43" s="1"/>
  <c r="G26" i="43"/>
  <c r="H26" i="43" s="1"/>
  <c r="F25" i="43"/>
  <c r="E25" i="43"/>
  <c r="D25" i="43"/>
  <c r="C25" i="43"/>
  <c r="B25" i="43"/>
  <c r="G25" i="43" s="1"/>
  <c r="H25" i="43" s="1"/>
  <c r="F21" i="43"/>
  <c r="E21" i="43"/>
  <c r="D21" i="43"/>
  <c r="C21" i="43"/>
  <c r="B21" i="43"/>
  <c r="F20" i="43"/>
  <c r="E20" i="43"/>
  <c r="D20" i="43"/>
  <c r="C20" i="43"/>
  <c r="B20" i="43"/>
  <c r="G17" i="43"/>
  <c r="H17" i="43" s="1"/>
  <c r="G16" i="43"/>
  <c r="H16" i="43" s="1"/>
  <c r="G15" i="43"/>
  <c r="H15" i="43" s="1"/>
  <c r="F14" i="43"/>
  <c r="E14" i="43"/>
  <c r="D14" i="43"/>
  <c r="C14" i="43"/>
  <c r="G14" i="43" s="1"/>
  <c r="H14" i="43" s="1"/>
  <c r="B14" i="43"/>
  <c r="G12" i="43"/>
  <c r="H12" i="43" s="1"/>
  <c r="G11" i="43"/>
  <c r="H11" i="43" s="1"/>
  <c r="F10" i="43"/>
  <c r="F22" i="43" s="1"/>
  <c r="F29" i="43" s="1"/>
  <c r="E10" i="43"/>
  <c r="E23" i="43" s="1"/>
  <c r="D10" i="43"/>
  <c r="D23" i="43" s="1"/>
  <c r="C10" i="43"/>
  <c r="C22" i="43" s="1"/>
  <c r="C29" i="43" s="1"/>
  <c r="B10" i="43"/>
  <c r="B22" i="43" s="1"/>
  <c r="G21" i="43" l="1"/>
  <c r="H21" i="43" s="1"/>
  <c r="D22" i="43"/>
  <c r="D29" i="43" s="1"/>
  <c r="E22" i="43"/>
  <c r="E29" i="43" s="1"/>
  <c r="G20" i="43"/>
  <c r="H20" i="43" s="1"/>
  <c r="B29" i="43"/>
  <c r="G22" i="43"/>
  <c r="G10" i="43"/>
  <c r="H10" i="43" s="1"/>
  <c r="B23" i="43"/>
  <c r="G23" i="43" s="1"/>
  <c r="H23" i="43" s="1"/>
  <c r="F23" i="43"/>
  <c r="C23" i="43"/>
  <c r="G29" i="43" l="1"/>
  <c r="H22" i="43"/>
  <c r="B14" i="41" l="1"/>
  <c r="G13" i="41"/>
  <c r="F13" i="41"/>
  <c r="F12" i="41"/>
  <c r="G11" i="41"/>
  <c r="F11" i="41"/>
  <c r="F10" i="41"/>
  <c r="F9" i="41"/>
  <c r="J38" i="39" l="1"/>
  <c r="I38" i="39"/>
  <c r="H38" i="39"/>
  <c r="G38" i="39"/>
  <c r="F38" i="39"/>
  <c r="J37" i="39"/>
  <c r="I37" i="39"/>
  <c r="H37" i="39"/>
  <c r="G37" i="39"/>
  <c r="F37" i="39"/>
  <c r="J36" i="39"/>
  <c r="I36" i="39"/>
  <c r="H36" i="39"/>
  <c r="G36" i="39"/>
  <c r="F36" i="39"/>
  <c r="K35" i="39"/>
  <c r="J35" i="39"/>
  <c r="I35" i="39"/>
  <c r="H35" i="39"/>
  <c r="H39" i="39" s="1"/>
  <c r="G35" i="39"/>
  <c r="G39" i="39" s="1"/>
  <c r="F35" i="39"/>
  <c r="J34" i="39"/>
  <c r="J39" i="39" s="1"/>
  <c r="I34" i="39"/>
  <c r="I39" i="39" s="1"/>
  <c r="H34" i="39"/>
  <c r="G34" i="39"/>
  <c r="F34" i="39"/>
  <c r="F39" i="39" s="1"/>
  <c r="J33" i="39"/>
  <c r="I33" i="39"/>
  <c r="H33" i="39"/>
  <c r="G33" i="39"/>
  <c r="F33" i="39"/>
  <c r="K33" i="39" s="1"/>
  <c r="K32" i="39"/>
  <c r="K31" i="39"/>
  <c r="K30" i="39"/>
  <c r="K29" i="39"/>
  <c r="K28" i="39"/>
  <c r="J27" i="39"/>
  <c r="I27" i="39"/>
  <c r="H27" i="39"/>
  <c r="G27" i="39"/>
  <c r="F27" i="39"/>
  <c r="K27" i="39" s="1"/>
  <c r="K26" i="39"/>
  <c r="K25" i="39"/>
  <c r="K24" i="39"/>
  <c r="K23" i="39"/>
  <c r="K22" i="39"/>
  <c r="J21" i="39"/>
  <c r="I21" i="39"/>
  <c r="H21" i="39"/>
  <c r="G21" i="39"/>
  <c r="F21" i="39"/>
  <c r="K21" i="39" s="1"/>
  <c r="K20" i="39"/>
  <c r="K19" i="39"/>
  <c r="K18" i="39"/>
  <c r="K17" i="39"/>
  <c r="K16" i="39"/>
  <c r="J15" i="39"/>
  <c r="I15" i="39"/>
  <c r="H15" i="39"/>
  <c r="G15" i="39"/>
  <c r="F15" i="39"/>
  <c r="K15" i="39" s="1"/>
  <c r="K14" i="39"/>
  <c r="K13" i="39"/>
  <c r="K37" i="39" s="1"/>
  <c r="K12" i="39"/>
  <c r="K36" i="39" s="1"/>
  <c r="K11" i="39"/>
  <c r="K10" i="39"/>
  <c r="K34" i="39" s="1"/>
  <c r="K39" i="39" l="1"/>
  <c r="K38" i="39"/>
  <c r="E40" i="37" l="1"/>
  <c r="F40" i="37" s="1"/>
  <c r="F39" i="37"/>
  <c r="E39" i="37"/>
  <c r="F38" i="37"/>
  <c r="F37" i="37"/>
  <c r="F36" i="37"/>
  <c r="F35" i="37"/>
  <c r="E34" i="37"/>
  <c r="F33" i="37"/>
  <c r="F32" i="37"/>
  <c r="F31" i="37"/>
  <c r="F30" i="37"/>
  <c r="F29" i="37"/>
  <c r="F28" i="37"/>
  <c r="F27" i="37"/>
  <c r="F26" i="37"/>
  <c r="E26" i="37"/>
  <c r="F25" i="37"/>
  <c r="F24" i="37"/>
  <c r="F23" i="37"/>
  <c r="F22" i="37"/>
  <c r="F21" i="37"/>
  <c r="F20" i="37"/>
  <c r="E19" i="37"/>
  <c r="F19" i="37" s="1"/>
  <c r="F18" i="37"/>
  <c r="F17" i="37"/>
  <c r="F16" i="37"/>
  <c r="F15" i="37"/>
  <c r="F14" i="37"/>
  <c r="F13" i="37"/>
  <c r="F12" i="37"/>
  <c r="F11" i="37"/>
  <c r="F10" i="37"/>
  <c r="M12" i="34"/>
  <c r="N12" i="34"/>
  <c r="M13" i="34"/>
  <c r="N13" i="34"/>
  <c r="M14" i="34"/>
  <c r="N14" i="34"/>
  <c r="M15" i="34"/>
  <c r="N15" i="34"/>
  <c r="M16" i="34"/>
  <c r="N16" i="34"/>
  <c r="C17" i="34"/>
  <c r="D17" i="34"/>
  <c r="E17" i="34"/>
  <c r="F17" i="34"/>
  <c r="G17" i="34"/>
  <c r="H17" i="34"/>
  <c r="I17" i="34"/>
  <c r="J17" i="34"/>
  <c r="K17" i="34"/>
  <c r="L17" i="34"/>
  <c r="M17" i="34" l="1"/>
  <c r="F34" i="37"/>
  <c r="N17" i="34"/>
  <c r="G35" i="10"/>
  <c r="F34" i="10"/>
  <c r="E34" i="10"/>
  <c r="D34" i="10"/>
  <c r="C34" i="10"/>
  <c r="B34" i="10"/>
  <c r="G33" i="10"/>
  <c r="G32" i="10"/>
  <c r="G31" i="10"/>
  <c r="G30" i="10"/>
  <c r="G29" i="10"/>
  <c r="F28" i="10"/>
  <c r="E28" i="10"/>
  <c r="D28" i="10"/>
  <c r="C28" i="10"/>
  <c r="B28" i="10"/>
  <c r="G27" i="10"/>
  <c r="G26" i="10"/>
  <c r="F25" i="10"/>
  <c r="E25" i="10"/>
  <c r="D25" i="10"/>
  <c r="C25" i="10"/>
  <c r="B25" i="10"/>
  <c r="G24" i="10"/>
  <c r="G23" i="10"/>
  <c r="G22" i="10"/>
  <c r="G21" i="10"/>
  <c r="G20" i="10"/>
  <c r="G19" i="10"/>
  <c r="G18" i="10"/>
  <c r="G17" i="10"/>
  <c r="G16" i="10"/>
  <c r="F15" i="10"/>
  <c r="E15" i="10"/>
  <c r="D15" i="10"/>
  <c r="C15" i="10"/>
  <c r="B15" i="10"/>
  <c r="G14" i="10"/>
  <c r="G13" i="10"/>
  <c r="G12" i="10"/>
  <c r="G11" i="10"/>
  <c r="F10" i="10"/>
  <c r="E10" i="10"/>
  <c r="D10" i="10"/>
  <c r="C10" i="10"/>
  <c r="B10" i="10"/>
  <c r="F36" i="25"/>
  <c r="B36" i="25"/>
  <c r="G35" i="25"/>
  <c r="G34" i="25" s="1"/>
  <c r="F34" i="25"/>
  <c r="E34" i="25"/>
  <c r="D34" i="25"/>
  <c r="C34" i="25"/>
  <c r="B34" i="25"/>
  <c r="G33" i="25"/>
  <c r="G32" i="25"/>
  <c r="G31" i="25"/>
  <c r="G30" i="25"/>
  <c r="G29" i="25"/>
  <c r="G28" i="25" s="1"/>
  <c r="F28" i="25"/>
  <c r="E28" i="25"/>
  <c r="D28" i="25"/>
  <c r="C28" i="25"/>
  <c r="B28" i="25"/>
  <c r="G27" i="25"/>
  <c r="G26" i="25"/>
  <c r="G25" i="25" s="1"/>
  <c r="F25" i="25"/>
  <c r="E25" i="25"/>
  <c r="D25" i="25"/>
  <c r="C25" i="25"/>
  <c r="B25" i="25"/>
  <c r="G24" i="25"/>
  <c r="G23" i="25"/>
  <c r="G22" i="25"/>
  <c r="G21" i="25"/>
  <c r="G20" i="25"/>
  <c r="G19" i="25"/>
  <c r="G15" i="25" s="1"/>
  <c r="G18" i="25"/>
  <c r="G17" i="25"/>
  <c r="G16" i="25"/>
  <c r="F15" i="25"/>
  <c r="E15" i="25"/>
  <c r="D15" i="25"/>
  <c r="C15" i="25"/>
  <c r="B15" i="25"/>
  <c r="G14" i="25"/>
  <c r="G13" i="25"/>
  <c r="G12" i="25"/>
  <c r="G11" i="25"/>
  <c r="F10" i="25"/>
  <c r="E10" i="25"/>
  <c r="E36" i="25" s="1"/>
  <c r="D10" i="25"/>
  <c r="D36" i="25" s="1"/>
  <c r="C10" i="25"/>
  <c r="C36" i="25" s="1"/>
  <c r="B10" i="25"/>
  <c r="G10" i="25" s="1"/>
  <c r="D64" i="13"/>
  <c r="D63" i="13"/>
  <c r="D45" i="13"/>
  <c r="D44" i="13"/>
  <c r="D25" i="13"/>
  <c r="D24" i="13"/>
  <c r="D3" i="13"/>
  <c r="D2" i="13"/>
  <c r="H27" i="9"/>
  <c r="G27" i="9"/>
  <c r="H26" i="9"/>
  <c r="G26" i="9"/>
  <c r="H25" i="9"/>
  <c r="G25" i="9"/>
  <c r="F25" i="9"/>
  <c r="E25" i="9"/>
  <c r="D25" i="9"/>
  <c r="C25" i="9"/>
  <c r="B25" i="9"/>
  <c r="F16" i="9"/>
  <c r="E16" i="9"/>
  <c r="D16" i="9"/>
  <c r="C16" i="9"/>
  <c r="B16" i="9"/>
  <c r="G16" i="9" s="1"/>
  <c r="H16" i="9" s="1"/>
  <c r="F12" i="9"/>
  <c r="E12" i="9"/>
  <c r="E64" i="13" s="1"/>
  <c r="B12" i="9"/>
  <c r="E3" i="13" s="1"/>
  <c r="D11" i="9"/>
  <c r="D10" i="9" s="1"/>
  <c r="G27" i="24"/>
  <c r="H27" i="24" s="1"/>
  <c r="H26" i="24"/>
  <c r="G26" i="24"/>
  <c r="G25" i="24"/>
  <c r="H25" i="24" s="1"/>
  <c r="F25" i="24"/>
  <c r="E25" i="24"/>
  <c r="D25" i="24"/>
  <c r="C25" i="24"/>
  <c r="B25" i="24"/>
  <c r="F21" i="24"/>
  <c r="E21" i="24"/>
  <c r="D21" i="24"/>
  <c r="C21" i="24"/>
  <c r="B21" i="24"/>
  <c r="F20" i="24"/>
  <c r="E20" i="24"/>
  <c r="D20" i="24"/>
  <c r="C20" i="24"/>
  <c r="B20" i="24"/>
  <c r="H19" i="24"/>
  <c r="H18" i="24"/>
  <c r="H17" i="24"/>
  <c r="G17" i="24"/>
  <c r="G16" i="24"/>
  <c r="H16" i="24" s="1"/>
  <c r="H15" i="24"/>
  <c r="G15" i="24"/>
  <c r="G14" i="24"/>
  <c r="H14" i="24" s="1"/>
  <c r="F14" i="24"/>
  <c r="F23" i="24" s="1"/>
  <c r="E14" i="24"/>
  <c r="D14" i="24"/>
  <c r="C14" i="24"/>
  <c r="C23" i="24" s="1"/>
  <c r="B14" i="24"/>
  <c r="H12" i="24"/>
  <c r="G12" i="24"/>
  <c r="G21" i="24" s="1"/>
  <c r="H21" i="24" s="1"/>
  <c r="G11" i="24"/>
  <c r="G20" i="24" s="1"/>
  <c r="H20" i="24" s="1"/>
  <c r="F10" i="24"/>
  <c r="F22" i="24" s="1"/>
  <c r="F29" i="24" s="1"/>
  <c r="E10" i="24"/>
  <c r="E23" i="24" s="1"/>
  <c r="D10" i="24"/>
  <c r="D22" i="24" s="1"/>
  <c r="D29" i="24" s="1"/>
  <c r="C10" i="24"/>
  <c r="C22" i="24" s="1"/>
  <c r="C29" i="24" s="1"/>
  <c r="B10" i="24"/>
  <c r="B22" i="24" s="1"/>
  <c r="B29" i="24" s="1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C17" i="15" s="1"/>
  <c r="G25" i="8"/>
  <c r="G24" i="8"/>
  <c r="G23" i="8"/>
  <c r="G22" i="8"/>
  <c r="G21" i="8"/>
  <c r="G20" i="8"/>
  <c r="G19" i="8"/>
  <c r="F18" i="8"/>
  <c r="F17" i="9" s="1"/>
  <c r="F21" i="9" s="1"/>
  <c r="E18" i="8"/>
  <c r="E17" i="9" s="1"/>
  <c r="E21" i="9" s="1"/>
  <c r="D18" i="8"/>
  <c r="D17" i="9" s="1"/>
  <c r="C18" i="8"/>
  <c r="C26" i="8" s="1"/>
  <c r="B18" i="8"/>
  <c r="B17" i="9" s="1"/>
  <c r="G17" i="8"/>
  <c r="G16" i="8"/>
  <c r="G15" i="8"/>
  <c r="G14" i="8"/>
  <c r="G13" i="8"/>
  <c r="G12" i="8"/>
  <c r="G10" i="8" s="1"/>
  <c r="G11" i="8"/>
  <c r="F10" i="8"/>
  <c r="F15" i="9" s="1"/>
  <c r="E10" i="8"/>
  <c r="E15" i="9" s="1"/>
  <c r="D10" i="8"/>
  <c r="D15" i="9" s="1"/>
  <c r="C10" i="8"/>
  <c r="C15" i="9" s="1"/>
  <c r="B10" i="8"/>
  <c r="B15" i="9" s="1"/>
  <c r="G26" i="23"/>
  <c r="F26" i="23"/>
  <c r="E26" i="23"/>
  <c r="D26" i="23"/>
  <c r="C26" i="23"/>
  <c r="B26" i="23"/>
  <c r="G25" i="23"/>
  <c r="G24" i="23"/>
  <c r="G23" i="23"/>
  <c r="G22" i="23"/>
  <c r="G21" i="23"/>
  <c r="G20" i="23"/>
  <c r="G19" i="23"/>
  <c r="G18" i="23"/>
  <c r="F18" i="23"/>
  <c r="E18" i="23"/>
  <c r="D18" i="23"/>
  <c r="C18" i="23"/>
  <c r="B18" i="23"/>
  <c r="G17" i="23"/>
  <c r="G16" i="23"/>
  <c r="G15" i="23"/>
  <c r="G14" i="23"/>
  <c r="G13" i="23"/>
  <c r="G12" i="23"/>
  <c r="G11" i="23"/>
  <c r="G10" i="23"/>
  <c r="F10" i="23"/>
  <c r="E10" i="23"/>
  <c r="D10" i="23"/>
  <c r="C10" i="23"/>
  <c r="B10" i="23"/>
  <c r="D22" i="7"/>
  <c r="H21" i="7"/>
  <c r="H20" i="7"/>
  <c r="H19" i="7"/>
  <c r="H18" i="7" s="1"/>
  <c r="G18" i="7"/>
  <c r="G22" i="7" s="1"/>
  <c r="F18" i="7"/>
  <c r="F22" i="7" s="1"/>
  <c r="E18" i="7"/>
  <c r="D12" i="9" s="1"/>
  <c r="E45" i="13" s="1"/>
  <c r="D18" i="7"/>
  <c r="C12" i="9" s="1"/>
  <c r="E25" i="13" s="1"/>
  <c r="C18" i="7"/>
  <c r="C22" i="7" s="1"/>
  <c r="H17" i="7"/>
  <c r="H16" i="7"/>
  <c r="H15" i="7"/>
  <c r="H14" i="7"/>
  <c r="H13" i="7"/>
  <c r="H12" i="7"/>
  <c r="H10" i="7" s="1"/>
  <c r="H11" i="7"/>
  <c r="G10" i="7"/>
  <c r="F11" i="9" s="1"/>
  <c r="F10" i="9" s="1"/>
  <c r="F10" i="7"/>
  <c r="E11" i="9" s="1"/>
  <c r="E10" i="7"/>
  <c r="D10" i="7"/>
  <c r="C11" i="9" s="1"/>
  <c r="C10" i="7"/>
  <c r="B11" i="9" s="1"/>
  <c r="E22" i="22"/>
  <c r="H21" i="22"/>
  <c r="H20" i="22"/>
  <c r="H19" i="22"/>
  <c r="H18" i="22" s="1"/>
  <c r="G18" i="22"/>
  <c r="G22" i="22" s="1"/>
  <c r="F18" i="22"/>
  <c r="F22" i="22" s="1"/>
  <c r="E18" i="22"/>
  <c r="D18" i="22"/>
  <c r="D22" i="22" s="1"/>
  <c r="C18" i="22"/>
  <c r="C22" i="22" s="1"/>
  <c r="H17" i="22"/>
  <c r="H16" i="22"/>
  <c r="H15" i="22"/>
  <c r="H14" i="22"/>
  <c r="H13" i="22"/>
  <c r="H12" i="22"/>
  <c r="H11" i="22"/>
  <c r="H10" i="22" s="1"/>
  <c r="G10" i="22"/>
  <c r="F10" i="22"/>
  <c r="E10" i="22"/>
  <c r="D10" i="22"/>
  <c r="C10" i="22"/>
  <c r="H38" i="20"/>
  <c r="G38" i="20"/>
  <c r="F38" i="20"/>
  <c r="E38" i="20"/>
  <c r="D38" i="20"/>
  <c r="H37" i="20"/>
  <c r="G37" i="20"/>
  <c r="F37" i="20"/>
  <c r="F39" i="20" s="1"/>
  <c r="E37" i="20"/>
  <c r="D37" i="20"/>
  <c r="H36" i="20"/>
  <c r="G36" i="20"/>
  <c r="F36" i="20"/>
  <c r="E36" i="20"/>
  <c r="D36" i="20"/>
  <c r="H35" i="20"/>
  <c r="G35" i="20"/>
  <c r="F35" i="20"/>
  <c r="E35" i="20"/>
  <c r="D35" i="20"/>
  <c r="H34" i="20"/>
  <c r="G34" i="20"/>
  <c r="F34" i="20"/>
  <c r="E34" i="20"/>
  <c r="D34" i="20"/>
  <c r="H33" i="20"/>
  <c r="G33" i="20"/>
  <c r="F33" i="20"/>
  <c r="E33" i="20"/>
  <c r="D33" i="20"/>
  <c r="I32" i="20"/>
  <c r="I31" i="20"/>
  <c r="I30" i="20"/>
  <c r="I29" i="20"/>
  <c r="I28" i="20"/>
  <c r="H27" i="20"/>
  <c r="G27" i="20"/>
  <c r="F27" i="20"/>
  <c r="E27" i="20"/>
  <c r="D27" i="20"/>
  <c r="I26" i="20"/>
  <c r="I25" i="20"/>
  <c r="I24" i="20"/>
  <c r="I23" i="20"/>
  <c r="I22" i="20"/>
  <c r="H21" i="20"/>
  <c r="G21" i="20"/>
  <c r="F21" i="20"/>
  <c r="E21" i="20"/>
  <c r="D21" i="20"/>
  <c r="I20" i="20"/>
  <c r="I19" i="20"/>
  <c r="I18" i="20"/>
  <c r="I17" i="20"/>
  <c r="I16" i="20"/>
  <c r="H15" i="20"/>
  <c r="G15" i="20"/>
  <c r="F15" i="20"/>
  <c r="E15" i="20"/>
  <c r="D15" i="20"/>
  <c r="I14" i="20"/>
  <c r="I38" i="20" s="1"/>
  <c r="I13" i="20"/>
  <c r="I12" i="20"/>
  <c r="I36" i="20" s="1"/>
  <c r="I11" i="20"/>
  <c r="I35" i="20" s="1"/>
  <c r="I10" i="20"/>
  <c r="G14" i="5"/>
  <c r="E14" i="5"/>
  <c r="D14" i="5"/>
  <c r="C14" i="5"/>
  <c r="B14" i="5"/>
  <c r="G13" i="5"/>
  <c r="F13" i="5"/>
  <c r="G12" i="5"/>
  <c r="F12" i="5"/>
  <c r="G11" i="5"/>
  <c r="F11" i="5"/>
  <c r="G10" i="5"/>
  <c r="F10" i="5"/>
  <c r="G9" i="5"/>
  <c r="F9" i="5"/>
  <c r="K34" i="3"/>
  <c r="I34" i="3"/>
  <c r="G34" i="3"/>
  <c r="E34" i="3"/>
  <c r="C34" i="3"/>
  <c r="K33" i="3"/>
  <c r="I33" i="3"/>
  <c r="G33" i="3"/>
  <c r="E33" i="3"/>
  <c r="C33" i="3"/>
  <c r="K32" i="3"/>
  <c r="I32" i="3"/>
  <c r="G32" i="3"/>
  <c r="E32" i="3"/>
  <c r="C32" i="3"/>
  <c r="K31" i="3"/>
  <c r="I31" i="3"/>
  <c r="G31" i="3"/>
  <c r="E31" i="3"/>
  <c r="C31" i="3"/>
  <c r="M29" i="3"/>
  <c r="L29" i="3"/>
  <c r="K29" i="3"/>
  <c r="J29" i="3"/>
  <c r="I29" i="3"/>
  <c r="H29" i="3"/>
  <c r="G29" i="3"/>
  <c r="F29" i="3"/>
  <c r="E29" i="3"/>
  <c r="D29" i="3"/>
  <c r="C29" i="3"/>
  <c r="B29" i="3"/>
  <c r="AA27" i="3"/>
  <c r="Y27" i="3"/>
  <c r="W27" i="3"/>
  <c r="U27" i="3"/>
  <c r="S27" i="3"/>
  <c r="Q27" i="3"/>
  <c r="O27" i="3"/>
  <c r="N27" i="3"/>
  <c r="M27" i="3"/>
  <c r="AA26" i="3"/>
  <c r="Y26" i="3"/>
  <c r="W26" i="3"/>
  <c r="U26" i="3"/>
  <c r="S26" i="3"/>
  <c r="Q26" i="3"/>
  <c r="O26" i="3"/>
  <c r="N26" i="3"/>
  <c r="M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A23" i="3"/>
  <c r="Y23" i="3"/>
  <c r="W23" i="3"/>
  <c r="U23" i="3"/>
  <c r="S23" i="3"/>
  <c r="Q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A22" i="3"/>
  <c r="Y22" i="3"/>
  <c r="W22" i="3"/>
  <c r="U22" i="3"/>
  <c r="S22" i="3"/>
  <c r="Q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A21" i="3"/>
  <c r="Y21" i="3"/>
  <c r="W21" i="3"/>
  <c r="U21" i="3"/>
  <c r="S21" i="3"/>
  <c r="Q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A20" i="3"/>
  <c r="Y20" i="3"/>
  <c r="W20" i="3"/>
  <c r="U20" i="3"/>
  <c r="S20" i="3"/>
  <c r="Q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O19" i="3"/>
  <c r="N19" i="3"/>
  <c r="AA17" i="3"/>
  <c r="Y17" i="3"/>
  <c r="W17" i="3"/>
  <c r="U17" i="3"/>
  <c r="S17" i="3"/>
  <c r="Q17" i="3"/>
  <c r="O17" i="3"/>
  <c r="N17" i="3"/>
  <c r="M17" i="3"/>
  <c r="AA16" i="3"/>
  <c r="Y16" i="3"/>
  <c r="W16" i="3"/>
  <c r="U16" i="3"/>
  <c r="S16" i="3"/>
  <c r="Q16" i="3"/>
  <c r="O16" i="3"/>
  <c r="N16" i="3"/>
  <c r="M16" i="3"/>
  <c r="AA15" i="3"/>
  <c r="Y15" i="3"/>
  <c r="W15" i="3"/>
  <c r="U15" i="3"/>
  <c r="S15" i="3"/>
  <c r="Q15" i="3"/>
  <c r="O15" i="3"/>
  <c r="N15" i="3"/>
  <c r="M15" i="3"/>
  <c r="AA14" i="3"/>
  <c r="Y14" i="3"/>
  <c r="W14" i="3"/>
  <c r="U14" i="3"/>
  <c r="S14" i="3"/>
  <c r="Q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A12" i="3"/>
  <c r="Y12" i="3"/>
  <c r="W12" i="3"/>
  <c r="U12" i="3"/>
  <c r="S12" i="3"/>
  <c r="Q12" i="3"/>
  <c r="O12" i="3"/>
  <c r="N12" i="3"/>
  <c r="M12" i="3"/>
  <c r="AA11" i="3"/>
  <c r="Y11" i="3"/>
  <c r="W11" i="3"/>
  <c r="U11" i="3"/>
  <c r="S11" i="3"/>
  <c r="Q11" i="3"/>
  <c r="O11" i="3"/>
  <c r="N11" i="3"/>
  <c r="M11" i="3"/>
  <c r="AA10" i="3"/>
  <c r="Y10" i="3"/>
  <c r="W10" i="3"/>
  <c r="U10" i="3"/>
  <c r="S10" i="3"/>
  <c r="Q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I21" i="20" l="1"/>
  <c r="I27" i="20"/>
  <c r="I33" i="20"/>
  <c r="I37" i="20"/>
  <c r="G39" i="20"/>
  <c r="E39" i="20"/>
  <c r="D39" i="20"/>
  <c r="G13" i="15"/>
  <c r="G14" i="15"/>
  <c r="B36" i="10"/>
  <c r="C36" i="10"/>
  <c r="G34" i="10"/>
  <c r="E36" i="10"/>
  <c r="G15" i="15"/>
  <c r="G16" i="15"/>
  <c r="G12" i="15"/>
  <c r="E17" i="15"/>
  <c r="C17" i="9"/>
  <c r="F17" i="15"/>
  <c r="G18" i="8"/>
  <c r="E63" i="13"/>
  <c r="E10" i="9"/>
  <c r="G11" i="9"/>
  <c r="B10" i="9"/>
  <c r="E2" i="13"/>
  <c r="E24" i="13"/>
  <c r="C10" i="9"/>
  <c r="H22" i="7"/>
  <c r="E44" i="13"/>
  <c r="G12" i="9"/>
  <c r="H12" i="9" s="1"/>
  <c r="E22" i="7"/>
  <c r="C21" i="9"/>
  <c r="D21" i="9"/>
  <c r="G36" i="25"/>
  <c r="H11" i="24"/>
  <c r="G10" i="24"/>
  <c r="D23" i="24"/>
  <c r="E22" i="24"/>
  <c r="E29" i="24" s="1"/>
  <c r="B23" i="24"/>
  <c r="E20" i="9"/>
  <c r="E14" i="9"/>
  <c r="D14" i="9"/>
  <c r="D20" i="9"/>
  <c r="B20" i="9"/>
  <c r="G15" i="9"/>
  <c r="B14" i="9"/>
  <c r="F20" i="9"/>
  <c r="F14" i="9"/>
  <c r="G17" i="9"/>
  <c r="B21" i="9"/>
  <c r="C20" i="9"/>
  <c r="C14" i="9"/>
  <c r="G26" i="8"/>
  <c r="D26" i="8"/>
  <c r="H13" i="15"/>
  <c r="D17" i="15"/>
  <c r="H14" i="15"/>
  <c r="E26" i="8"/>
  <c r="H12" i="15"/>
  <c r="H16" i="15"/>
  <c r="B26" i="8"/>
  <c r="F26" i="8"/>
  <c r="H15" i="15"/>
  <c r="H22" i="22"/>
  <c r="I39" i="20"/>
  <c r="I34" i="20"/>
  <c r="I15" i="20"/>
  <c r="H39" i="20"/>
  <c r="G28" i="10"/>
  <c r="F36" i="10"/>
  <c r="G15" i="10"/>
  <c r="G10" i="10"/>
  <c r="D36" i="10"/>
  <c r="G25" i="10"/>
  <c r="G17" i="15" l="1"/>
  <c r="H11" i="9"/>
  <c r="G10" i="9"/>
  <c r="H10" i="9" s="1"/>
  <c r="H10" i="24"/>
  <c r="G23" i="24"/>
  <c r="H23" i="24" s="1"/>
  <c r="G22" i="24"/>
  <c r="F23" i="9"/>
  <c r="F22" i="9"/>
  <c r="F29" i="9" s="1"/>
  <c r="E22" i="9"/>
  <c r="E29" i="9" s="1"/>
  <c r="E23" i="9"/>
  <c r="G21" i="9"/>
  <c r="H21" i="9" s="1"/>
  <c r="H17" i="9"/>
  <c r="C23" i="9"/>
  <c r="C22" i="9"/>
  <c r="C29" i="9" s="1"/>
  <c r="G20" i="9"/>
  <c r="H20" i="9" s="1"/>
  <c r="H15" i="9"/>
  <c r="G14" i="9"/>
  <c r="H17" i="15"/>
  <c r="B23" i="9"/>
  <c r="B22" i="9"/>
  <c r="B29" i="9" s="1"/>
  <c r="D22" i="9"/>
  <c r="D29" i="9" s="1"/>
  <c r="D23" i="9"/>
  <c r="G36" i="10"/>
  <c r="G29" i="24" l="1"/>
  <c r="H29" i="24" s="1"/>
  <c r="H22" i="24"/>
  <c r="G22" i="9"/>
  <c r="G23" i="9"/>
  <c r="H23" i="9" s="1"/>
  <c r="H14" i="9"/>
  <c r="G29" i="9" l="1"/>
  <c r="H22" i="9"/>
</calcChain>
</file>

<file path=xl/sharedStrings.xml><?xml version="1.0" encoding="utf-8"?>
<sst xmlns="http://schemas.openxmlformats.org/spreadsheetml/2006/main" count="820" uniqueCount="281">
  <si>
    <t>MINISTERIO DE HACIENDA</t>
  </si>
  <si>
    <t>DIRECCIÓN GENERAL DE PRESUPUESTO</t>
  </si>
  <si>
    <t>Meta de inflación (±1)</t>
  </si>
  <si>
    <t>Inflación (promedio)</t>
  </si>
  <si>
    <t>Inflación (diciembre)</t>
  </si>
  <si>
    <t>Crecimiento deflactor PIB</t>
  </si>
  <si>
    <t>Tasa de cambio (promedio)</t>
  </si>
  <si>
    <t>Tasa de variación (%)</t>
  </si>
  <si>
    <t>Tasa de cambio (diciembre)</t>
  </si>
  <si>
    <t>Crecimiento PIB real EE.UU (%)</t>
  </si>
  <si>
    <t>DIRECCIÓN DE ESTUDIOS ECONÓMICOS E INTEGRACIÓN PRESUPUESTARIA</t>
  </si>
  <si>
    <t xml:space="preserve">Cuenta Ahorro, Inversión y Financiamiento </t>
  </si>
  <si>
    <t>Millones de RD$</t>
  </si>
  <si>
    <t>Gobierno Central</t>
  </si>
  <si>
    <t>Empresas Públicas No Financieras</t>
  </si>
  <si>
    <t>Total General</t>
  </si>
  <si>
    <t>Ingresos</t>
  </si>
  <si>
    <t>1.1 - Ingresos Corrientes</t>
  </si>
  <si>
    <t>1.2 - Ingresos de Capital</t>
  </si>
  <si>
    <t>Gastos</t>
  </si>
  <si>
    <t>2.1 - Gastos Corrientes</t>
  </si>
  <si>
    <t>2.1.4 - Gastos de la propiedad</t>
  </si>
  <si>
    <t>2.2 - Gastos de Capital</t>
  </si>
  <si>
    <t>Resultados</t>
  </si>
  <si>
    <t>Resultado de la cuenta Corriente (1.1 - 2.1)</t>
  </si>
  <si>
    <t>Resultado de la cuenta de Capital (1.2 - 2.2)</t>
  </si>
  <si>
    <t>Resultado Financiero (1 - 2)</t>
  </si>
  <si>
    <t>Resultado Primario (1 - (2 - 2.1.4))</t>
  </si>
  <si>
    <t>Financiamiento Neto</t>
  </si>
  <si>
    <t>3.1 - Fuentes Financieras</t>
  </si>
  <si>
    <t>3.2 - Aplicaciones Financieras</t>
  </si>
  <si>
    <t>Resultado Financiero % PIB</t>
  </si>
  <si>
    <t>-</t>
  </si>
  <si>
    <t>Fuente: Elaboración propia con datos del Sitema de Información de la Gestión Financiera (SIGEF).</t>
  </si>
  <si>
    <t>Sub-sector Institucional</t>
  </si>
  <si>
    <t>Fuente</t>
  </si>
  <si>
    <t>Existentes</t>
  </si>
  <si>
    <t>Incluidas</t>
  </si>
  <si>
    <t>Instituciones Descentralizadas y Autónomas No Financieras</t>
  </si>
  <si>
    <t xml:space="preserve"> -</t>
  </si>
  <si>
    <t>Instituciones Públicas de la Seguridad Social formuladas independientes</t>
  </si>
  <si>
    <t>Gobiernos Locales</t>
  </si>
  <si>
    <t xml:space="preserve"> Las Empresas Distribuidoras y transmisión están incluidas como programas de la CDEEE, dada su condición de Holding.  </t>
  </si>
  <si>
    <t>Total SPNF</t>
  </si>
  <si>
    <t>Promedio ponderado en base a los ingresos por ámbitos del SPNF</t>
  </si>
  <si>
    <t>Fuente: Elaboración propia con datos del Sistema de Información de la Gestión Financiera (SIGEF).</t>
  </si>
  <si>
    <t>Año 2017</t>
  </si>
  <si>
    <t>Tipo de Transacción</t>
  </si>
  <si>
    <t>Institución Transfiere</t>
  </si>
  <si>
    <t xml:space="preserve">Institución Receptora </t>
  </si>
  <si>
    <t>Compra de Bienes y Servicios</t>
  </si>
  <si>
    <t xml:space="preserve">Instituciones Descentralizadas y Autónomas </t>
  </si>
  <si>
    <t>Instituciones Públicas de la Seguridad Social</t>
  </si>
  <si>
    <t>Transferencias Corrientes</t>
  </si>
  <si>
    <t>Transferencias de Capital</t>
  </si>
  <si>
    <t>Aplicaciones Financieras</t>
  </si>
  <si>
    <t>Total Instituciones Transfieren</t>
  </si>
  <si>
    <t>Total Recibido</t>
  </si>
  <si>
    <t>Millones RD$</t>
  </si>
  <si>
    <t xml:space="preserve">Clasificación Económica de los Ingresos </t>
  </si>
  <si>
    <t>1.1.1 - Impuestos</t>
  </si>
  <si>
    <t>1.1.2 - Contribuciones a la seguridad social</t>
  </si>
  <si>
    <t>1.1.3 - Ventas de bienes y servicios</t>
  </si>
  <si>
    <t>1.1.4 - Rentas de la propiedad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</si>
  <si>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</si>
  <si>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</si>
  <si>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</si>
  <si>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</si>
  <si>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</si>
  <si>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</si>
  <si>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 xml:space="preserve">Clasificación Económica de los Gastos </t>
  </si>
  <si>
    <t>2.1.1 - Gastos de explotación</t>
  </si>
  <si>
    <t>2.1.2 - Gastos de consumo</t>
  </si>
  <si>
    <t>2.1.3 - Prestaciones de la seguridad social (sistema propio de la empresa)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</si>
  <si>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</si>
  <si>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</si>
  <si>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</si>
  <si>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</si>
  <si>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</si>
  <si>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</si>
  <si>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</si>
  <si>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</si>
  <si>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</si>
  <si>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Total de Gastos</t>
  </si>
  <si>
    <t>Fuente: Elaboración propia con datos del Sitema de Información de la Gestión Financiera (SIGEF)</t>
  </si>
  <si>
    <t>Finalidad/Función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</si>
  <si>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</si>
  <si>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</si>
  <si>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</si>
  <si>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</si>
  <si>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</si>
  <si>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</si>
  <si>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</si>
  <si>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</si>
  <si>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</si>
  <si>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</si>
  <si>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Supervisión y regulación de la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</si>
  <si>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</si>
  <si>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</si>
  <si>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</si>
  <si>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</si>
  <si>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</si>
  <si>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</si>
  <si>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</si>
  <si>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</si>
  <si>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</si>
  <si>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</si>
  <si>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</si>
  <si>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</si>
  <si>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Asistencia social</t>
  </si>
  <si>
    <t>5 - INTERESES DE LA DEUDA PÚBLICA</t>
  </si>
  <si>
    <t>5.1 - Intereses y comisiones de deuda pública</t>
  </si>
  <si>
    <t xml:space="preserve">Clasificación Funcional del Gasto </t>
  </si>
  <si>
    <t>Las instituciones desconcentradas están reflejadas por las transferencias que reciben.</t>
  </si>
  <si>
    <t>Cobertura Institucional para la Consolidación del SPNF</t>
  </si>
  <si>
    <t>Instituciones Formulacion</t>
  </si>
  <si>
    <t>Instituciones Ejecución</t>
  </si>
  <si>
    <t>Formulación</t>
  </si>
  <si>
    <t>Ejecución</t>
  </si>
  <si>
    <t>Observaciones Ejecución</t>
  </si>
  <si>
    <t>1.1.6 - Transferencias y donaciones corrientes recibidas</t>
  </si>
  <si>
    <t>Inflación EE.UU. (diciembre)</t>
  </si>
  <si>
    <t>Inflación EE.UU. (promedio)</t>
  </si>
  <si>
    <t>Nickel (US$/TM)</t>
  </si>
  <si>
    <t>Oro (US$/Oz)</t>
  </si>
  <si>
    <t>Petróleo WTI (US$ por barril)</t>
  </si>
  <si>
    <t>Petróleo Canasta FMI (US$ por barril)</t>
  </si>
  <si>
    <t xml:space="preserve">Supuestos </t>
  </si>
  <si>
    <t xml:space="preserve">Tasa de cambio </t>
  </si>
  <si>
    <t xml:space="preserve">Inflación </t>
  </si>
  <si>
    <t>Crecimiento del PIB nominal en US$</t>
  </si>
  <si>
    <t>PIB nominal (Millones de US$)</t>
  </si>
  <si>
    <t>Crecimiento del PIB nominal</t>
  </si>
  <si>
    <t>PIB nominal (Millones RD$)</t>
  </si>
  <si>
    <t xml:space="preserve">PIB Nominal </t>
  </si>
  <si>
    <t>Crecimiento del PIB real</t>
  </si>
  <si>
    <t>PIB real (Indice 2007=100)</t>
  </si>
  <si>
    <t xml:space="preserve">PIB real </t>
  </si>
  <si>
    <t xml:space="preserve">Indicadores </t>
  </si>
  <si>
    <t>2.1.5 - Subvenciones otorgadas a empresas</t>
  </si>
  <si>
    <t>Ingresos Corrientes</t>
  </si>
  <si>
    <t>Inst. Descentralizadas y Autónomas No Financieras</t>
  </si>
  <si>
    <t>Ints. De la Seguridad Socia</t>
  </si>
  <si>
    <t>Gobierno Locales</t>
  </si>
  <si>
    <t>Tipo</t>
  </si>
  <si>
    <t>Ambito</t>
  </si>
  <si>
    <t>Ingresos de capital</t>
  </si>
  <si>
    <t>Gastos Corrientes</t>
  </si>
  <si>
    <t>Gastos de capital</t>
  </si>
  <si>
    <t>Ins. De Seguridad social</t>
  </si>
  <si>
    <t>Gobiernos locales</t>
  </si>
  <si>
    <t xml:space="preserve">Formulación </t>
  </si>
  <si>
    <t>Consumo</t>
  </si>
  <si>
    <t>Inversión</t>
  </si>
  <si>
    <t>Total</t>
  </si>
  <si>
    <t>Descentralizadas y Autónomas</t>
  </si>
  <si>
    <t>Inst. Seguridad Social</t>
  </si>
  <si>
    <t>Ints. De la Seguridad Social</t>
  </si>
  <si>
    <t>Ambito Institucional</t>
  </si>
  <si>
    <t xml:space="preserve">Sueldos y Salarios </t>
  </si>
  <si>
    <t>Salario Promedio Mensual</t>
  </si>
  <si>
    <t xml:space="preserve">Fuente: Elaboración propia con datos del Banco Central de la República Dominicana y Sistema de Información de la Gestión Financiera </t>
  </si>
  <si>
    <t>2.1.1 - Remuneraciones</t>
  </si>
  <si>
    <t>2.1.2- Sobresueldos</t>
  </si>
  <si>
    <t xml:space="preserve">Ejecución </t>
  </si>
  <si>
    <t>2.1.4 - Gratificaciones y Bonificaciones</t>
  </si>
  <si>
    <t>2.1.5 - Contribuciones a la Seguridad Social</t>
  </si>
  <si>
    <t>2.1.3 - Dietas y Gastos de Representación</t>
  </si>
  <si>
    <t>Cantidad de Empleados</t>
  </si>
  <si>
    <t xml:space="preserve">Empresas Públicas No Financieras </t>
  </si>
  <si>
    <t xml:space="preserve">Total general </t>
  </si>
  <si>
    <t xml:space="preserve">Total General </t>
  </si>
  <si>
    <t>Instituciones de la Seguridad Social</t>
  </si>
  <si>
    <t>% PIB</t>
  </si>
  <si>
    <t>Inst.Públicas de la Seguridad Social</t>
  </si>
  <si>
    <t>Total Transferido</t>
  </si>
  <si>
    <t>TOTAL SPNF</t>
  </si>
  <si>
    <t>Inst. Descentralizadas y Autonómas No Financieras</t>
  </si>
  <si>
    <t>Inst. de la Seguridad Social</t>
  </si>
  <si>
    <t xml:space="preserve"> Presupuesto Ejecutado Agregado por Ámbito Institucional del SPNF </t>
  </si>
  <si>
    <t>Matriz de Transacciones Ejecutadas Consolidadas del SPNF</t>
  </si>
  <si>
    <t>Presupuesto Ejecutado Consolidado por Ámbito Institucional del SPNF</t>
  </si>
  <si>
    <t>Presupuesto Formulado Consolidado por Ámbito Institucional del SPNF</t>
  </si>
  <si>
    <t xml:space="preserve">Presupuesto Ejecutado Consolidado por Ámbito Institucional del SPNF </t>
  </si>
  <si>
    <t xml:space="preserve">Presupuesto Formulado Consolidado por Ámbito Institucional del SPNF </t>
  </si>
  <si>
    <t xml:space="preserve"> Presupuesto Ejecutado Consolidado por Ámbito Institucional del SPNF</t>
  </si>
  <si>
    <t xml:space="preserve"> Presupuesto Formulado Consolidado por Ámbito Institucional del SPNF</t>
  </si>
  <si>
    <t xml:space="preserve">Presupuesto Ejecutado Consolidado por Ámbito del SPNF </t>
  </si>
  <si>
    <t xml:space="preserve">Presupuesto Formulado Consolidado por Ámbito del SPNF </t>
  </si>
  <si>
    <t>% Cobertura
Institucional</t>
  </si>
  <si>
    <t>% Cobertura
de Recursos</t>
  </si>
  <si>
    <t>Sistema de Información de la Gestión Financiera (SIGEF)</t>
  </si>
  <si>
    <t>Sistema de Presupuesto de los Gobiernos Locales (SIPREGOL)</t>
  </si>
  <si>
    <t>La cobertura de recursos solo se consideran las instituciones que registraron las transferencias recibidas de Gobierno Central</t>
  </si>
  <si>
    <t>Sistema Presupuestario de las Empresas Públicas (SIPREPUBLI)</t>
  </si>
  <si>
    <t xml:space="preserve">Observaciones </t>
  </si>
  <si>
    <t>Año 2018</t>
  </si>
  <si>
    <t>Observaciones:</t>
  </si>
  <si>
    <t>Observaciones</t>
  </si>
  <si>
    <t>Para la formulació, se toma el la Proyeccion del PIB utilizada en el año que trabajaremos</t>
  </si>
  <si>
    <t>Para la ejecución, se toma la revisión a Septiembre del año que trabajaremos sin alterar el que proyectamos en la formulación.</t>
  </si>
  <si>
    <t>El % de Cobertura de Recursos se saca de la Pivot consolidada, de forma agregada (solo filtrando el 0 del campo Consolidación). Se divide el gasto que dice Gobierno Central que le da a cada ambito entre el ingreso que dicen que reciben. esto es sin ningun filtro de trasnferencias ni compra de bienes ni nada, monto total puro e integro.
Para el caso de Empresas Públicas no Financieras, se debe de buscar una proyección de la Refineria. Se toma el último informe de ejecución publicado por la Refineria y se proyecta, de forma lineal, por 12 mese. Esta proyección debe de sumarse al gasto que GC dice le transfiere a las Empresas Públicas no Financieras. 
Actualizar la fuente de donde proviene cada información de acuerdo a si estamos en Formulación o Ejecución.</t>
  </si>
  <si>
    <t>Proyectos de Inversión Pública por Ámbito Institucional</t>
  </si>
  <si>
    <t xml:space="preserve">Millones de RD$ </t>
  </si>
  <si>
    <t>Proyecto</t>
  </si>
  <si>
    <t>% Part.</t>
  </si>
  <si>
    <t>1.1.1.1.1 - Gobierno Central</t>
  </si>
  <si>
    <t>16 - Construcción De La Ciudad Sanitaria Dr. Luis E. Aybar, Distrito Nacional</t>
  </si>
  <si>
    <t>47 - Construcción Del Tramo Iii De La Avenida Circunvalación Santo Domingo (Prof. Juan Bosch)</t>
  </si>
  <si>
    <t>03 - Construcción Linea 2-B Del Metro De Santo Domingo (Desde El Puente De La 17 Hasta Megacentro)</t>
  </si>
  <si>
    <t>47 - Mejoramiento De La Infraestructura Vial En La Provincia De Santiago</t>
  </si>
  <si>
    <t>51 - Mejoramiento De La Infraestructura Vial En La Provincia Santo Domingo</t>
  </si>
  <si>
    <t xml:space="preserve">1.1.2 - Sociedades Públicas No Financieras </t>
  </si>
  <si>
    <t>24 - Rehabilitación Y Ampliacion Alcantarillado Sanitario De Monte Cristi (2da. Etapa), Provincia Monte Cristi</t>
  </si>
  <si>
    <t>80 - Construcción Alcantarillado Sanitario De San Cristobal, Provincia San Cristobal</t>
  </si>
  <si>
    <t>38 - Construcción De La Estacion Depuradora De Aguas Residuales Del Rio Ozama,  Distrito Nacional Y Provincia Santo Domingo, Region Ozama</t>
  </si>
  <si>
    <t>14 - Mejoramiento Del Servicio De Agua Potable En Santiago</t>
  </si>
  <si>
    <t>1.1.1.2.1 - Gobiernos centrales municipales</t>
  </si>
  <si>
    <t>05 - Construcción Instalaciones Recreativas</t>
  </si>
  <si>
    <t>1.1.1.1.2 - Instituciones públicas descentralizadas y autónomas no financieras</t>
  </si>
  <si>
    <t>02 - Construcción Presa De Monte Grande, Rehabilitacion Y Complementacion De La Presa De Sabana Yegua, Provincia Azua</t>
  </si>
  <si>
    <t>05 - Construcción Pequeña Presa La Piña, Provincia Dajabon</t>
  </si>
  <si>
    <t>01 - Construcción De Archivos Regionales, En La República Dominicana</t>
  </si>
  <si>
    <t>Formulación 2018</t>
  </si>
  <si>
    <t>Ejecución 2018</t>
  </si>
  <si>
    <t>Fuente: MEPYD, Septiembre 2018, Panorama Macroeconómico 2018-2022, Ministerio de Economía, Planificación y Desarrollo.</t>
  </si>
  <si>
    <t xml:space="preserve"> </t>
  </si>
  <si>
    <t>2.5 - Minería, manufactura y construcción</t>
  </si>
  <si>
    <t>3.2 - Protección de la biodiversidad y ordenación de desechos.</t>
  </si>
  <si>
    <t>4.5 - Protección social</t>
  </si>
  <si>
    <t>Ejec. 2018</t>
  </si>
  <si>
    <t>28 - Construcción Carretera Turistica Gregorio Luperón, Provincia Puerto Plata</t>
  </si>
  <si>
    <t>01 - Recuperación De La Cobertura Vegetal En Cuencas Hidrográficas De La República Dominicana.</t>
  </si>
  <si>
    <t>04 - Ampliación Del Servicio De La Linea 1 Del Metro De Santo Domingo</t>
  </si>
  <si>
    <t>81 - Reparación Hospitales Del Distrito Nacional</t>
  </si>
  <si>
    <t>Otros Proyectos</t>
  </si>
  <si>
    <t>04 - Construcción De 250 Viviendas En La Provincia San Cristobal</t>
  </si>
  <si>
    <t>01 - Construcción de Vías de Comunicación y Anexos</t>
  </si>
  <si>
    <t xml:space="preserve">02 - Reparación y Acondicionamiento de Vias de Comunicación </t>
  </si>
  <si>
    <t>07 - Construcción Infraestructuras Culturales, Educativas , Religiosas y Funebre</t>
  </si>
  <si>
    <t>21 - Constucción de Infraestructuras sanitarias y medio ambiente</t>
  </si>
  <si>
    <t>06 - Reparación Instalaciones Recreativas</t>
  </si>
  <si>
    <t>Matriz de Transacciones Consolidadas del SPNF</t>
  </si>
  <si>
    <t>Instituciones Formulación</t>
  </si>
  <si>
    <t>Agregación Institucional para la Consolidación de la Ejecución del Sector Público No Financiero</t>
  </si>
  <si>
    <t>% PIB Ejecución</t>
  </si>
  <si>
    <t>Matriz de Transacciones para Consolidar en el SPNF</t>
  </si>
  <si>
    <t>Transacciones sugeridas MEFP 2001</t>
  </si>
  <si>
    <t>Definición</t>
  </si>
  <si>
    <t>Existe en el Presupuesto Formulado del SPNF 2018</t>
  </si>
  <si>
    <t>¿Consolidadas?</t>
  </si>
  <si>
    <t>Dividendos y retiros de los ingresos de las cuasicorporaciones</t>
  </si>
  <si>
    <t>Pago que reciben los accionistas y propietarios de otras corporaciones públicas por los fondos de capital que ponen a la disposición de dichas corporaciones.</t>
  </si>
  <si>
    <t>NO</t>
  </si>
  <si>
    <t>No hay transacciones de este tipo en el Presupuesto SPNF 2016.</t>
  </si>
  <si>
    <t>Subsidios</t>
  </si>
  <si>
    <t>Pagos corrientes sin contrapartida que las unidades gubernamentales hacen a las demas intituciones  con el fin de subsidiar la reducción de tarifa y precio de los servicios.</t>
  </si>
  <si>
    <t>SI</t>
  </si>
  <si>
    <t>El registro de los subsidios como transferencias no permite la identificación de estas transacciones.</t>
  </si>
  <si>
    <t>Transferencias corrientes y de capital</t>
  </si>
  <si>
    <r>
      <t xml:space="preserve">Las </t>
    </r>
    <r>
      <rPr>
        <b/>
        <sz val="10"/>
        <color theme="1"/>
        <rFont val="BenchNine Regular "/>
      </rPr>
      <t>transferencias corrientes</t>
    </r>
    <r>
      <rPr>
        <sz val="10"/>
        <color theme="1"/>
        <rFont val="BenchNine Regular "/>
      </rPr>
      <t xml:space="preserve"> son las que se efectúan en conexión a gastos corrientes y no están vinculadas ni condicionadas a la adquisición de un activo por parte del beneficiario. Las </t>
    </r>
    <r>
      <rPr>
        <b/>
        <sz val="10"/>
        <color theme="1"/>
        <rFont val="BenchNine Regular "/>
      </rPr>
      <t>transferencias de capital</t>
    </r>
    <r>
      <rPr>
        <sz val="10"/>
        <color theme="1"/>
        <rFont val="BenchNine Regular "/>
      </rPr>
      <t xml:space="preserve"> pueden constituir una transferencia de efectivo que el beneficiario debe utilizar o se espera que utilice para la adquisición de un activo o activos.</t>
    </r>
  </si>
  <si>
    <t>Ingresos y gastos de intereses</t>
  </si>
  <si>
    <t>Compras y ventas de bienes y servicios</t>
  </si>
  <si>
    <t xml:space="preserve">Actividad primaria de las corporaciones públicas no financieras con el proposito de suministrar bienes y servicios a precio de mercado. </t>
  </si>
  <si>
    <t>PARCIALMENTE</t>
  </si>
  <si>
    <t>Solo se han tomando en cuenta la venta de energía eléctrica al Estado por parte de la CDEEE.</t>
  </si>
  <si>
    <t>Flujos y saldos de activos no financieros</t>
  </si>
  <si>
    <t>Venta o adquisición  de activos no financieros de las corporaciones publicas no financieras, como tierras, edificios y equipos, en transacciones con el gobierno general o con otras corporaciones publicas no financieras.</t>
  </si>
  <si>
    <t>Acciones y otras participaciones de capital</t>
  </si>
  <si>
    <t>Abarcan todos los instrumentos y registros en que se reconocen, una vez satisfechos los derechos de todos los acreedores, los derechos al valor residual de las corporaciones.</t>
  </si>
  <si>
    <t>Préstamos valores distintos de acciones</t>
  </si>
  <si>
    <t xml:space="preserve">Instrumento financiero que se crea cuando un acreedor otorga fondos en préstamo directamente a un deudor y recibe un instrumento no negociable como evidencia del activo. </t>
  </si>
  <si>
    <t>La metodología utilizada no abarca el sector financiero, por esto fue tomado el SPNF, ya que dentro del SPNF no hay transacciones de este tipo.</t>
  </si>
  <si>
    <t xml:space="preserve">Valores distintos de acciones </t>
  </si>
  <si>
    <t xml:space="preserve">Instrumentos financieros negociables que sirven de evidencia de la obligación que tienen las unidades de liquidarlos mediante el suministro de efectivo, un instrumento financiero u otro artículo de valor
económico. </t>
  </si>
  <si>
    <t>Nota: Para este documento solo se están tomando las transacciones de carácter presupuestario.</t>
  </si>
  <si>
    <t>Fuente: Elaboración Propia de la Dirección General de Presupuesto.</t>
  </si>
  <si>
    <t>Panorama Macroeconómico</t>
  </si>
  <si>
    <t>Demanda Agregada</t>
  </si>
  <si>
    <t>Remuneraciones del Sector Público No Financiero</t>
  </si>
  <si>
    <t>Sueldos y Salarios Promedio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</si>
</sst>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 * #,##0.00_ ;_ * \-#,##0.00_ ;_ * &quot;-&quot;??_ ;_ @_ "/>
    <numFmt numFmtId="167" formatCode="#,##0.0,,_);\(#,##0.0,,\)"/>
    <numFmt numFmtId="168" formatCode="_(* #,##0.0,,_);_(* \(#,##0.0,,\);_(* &quot;-&quot;?_);_(@_)"/>
    <numFmt numFmtId="169" formatCode="0.0%"/>
    <numFmt numFmtId="170" formatCode="#,##0.0"/>
    <numFmt numFmtId="171" formatCode="_-* #,##0.0_-;\-* #,##0.0_-;_-* &quot;-&quot;??_-;_-@_-"/>
    <numFmt numFmtId="172" formatCode="_(* #,##0.0_);_(* \(#,##0.0\);_(* &quot;-&quot;??_);_(@_)"/>
    <numFmt numFmtId="173" formatCode="_-* #,##0_-;\-* #,##0_-;_-* &quot;-&quot;??_-;_-@_-"/>
    <numFmt numFmtId="174" formatCode="0.0000%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0"/>
      <name val="BenchNine Regular "/>
    </font>
    <font>
      <b/>
      <sz val="10"/>
      <color theme="1"/>
      <name val="BenchNine Regular "/>
    </font>
    <font>
      <sz val="10"/>
      <color theme="1"/>
      <name val="BenchNine Regular "/>
    </font>
    <font>
      <sz val="8"/>
      <color theme="1"/>
      <name val="BenchNine Regular "/>
    </font>
    <font>
      <b/>
      <sz val="10"/>
      <name val="BenchNine Regular 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color theme="1"/>
      <name val="BenchNine Regular "/>
    </font>
    <font>
      <b/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0"/>
      <name val="Times New Roman"/>
      <family val="1"/>
    </font>
    <font>
      <sz val="9"/>
      <color rgb="FF000000"/>
      <name val="BenchNine Regular "/>
    </font>
    <font>
      <b/>
      <sz val="12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color theme="0"/>
      <name val="Times New Roman"/>
      <family val="1"/>
    </font>
    <font>
      <sz val="9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6" fillId="0" borderId="0"/>
    <xf numFmtId="166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0">
    <xf numFmtId="0" fontId="0" fillId="0" borderId="0" xfId="0"/>
    <xf numFmtId="0" fontId="9" fillId="3" borderId="7" xfId="0" applyFont="1" applyFill="1" applyBorder="1" applyAlignment="1">
      <alignment horizontal="center" vertical="center" wrapText="1"/>
    </xf>
    <xf numFmtId="0" fontId="0" fillId="0" borderId="0" xfId="0"/>
    <xf numFmtId="167" fontId="10" fillId="0" borderId="2" xfId="0" applyNumberFormat="1" applyFont="1" applyBorder="1" applyAlignment="1">
      <alignment horizontal="center"/>
    </xf>
    <xf numFmtId="167" fontId="11" fillId="0" borderId="0" xfId="0" applyNumberFormat="1" applyFont="1" applyBorder="1" applyAlignment="1">
      <alignment horizontal="center"/>
    </xf>
    <xf numFmtId="43" fontId="11" fillId="0" borderId="0" xfId="5" applyFont="1" applyBorder="1" applyAlignment="1">
      <alignment horizontal="center"/>
    </xf>
    <xf numFmtId="167" fontId="10" fillId="5" borderId="0" xfId="0" applyNumberFormat="1" applyFont="1" applyFill="1" applyAlignment="1">
      <alignment horizontal="center"/>
    </xf>
    <xf numFmtId="167" fontId="11" fillId="2" borderId="0" xfId="0" applyNumberFormat="1" applyFont="1" applyFill="1" applyAlignment="1">
      <alignment horizontal="center"/>
    </xf>
    <xf numFmtId="167" fontId="10" fillId="2" borderId="0" xfId="0" applyNumberFormat="1" applyFont="1" applyFill="1" applyAlignment="1">
      <alignment horizontal="center"/>
    </xf>
    <xf numFmtId="43" fontId="10" fillId="0" borderId="2" xfId="5" applyFont="1" applyBorder="1" applyAlignment="1">
      <alignment horizontal="center"/>
    </xf>
    <xf numFmtId="39" fontId="11" fillId="0" borderId="0" xfId="0" applyNumberFormat="1" applyFont="1" applyAlignment="1">
      <alignment horizontal="center"/>
    </xf>
    <xf numFmtId="10" fontId="10" fillId="5" borderId="0" xfId="1" applyNumberFormat="1" applyFont="1" applyFill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7" fontId="10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0" fillId="0" borderId="0" xfId="0"/>
    <xf numFmtId="0" fontId="0" fillId="0" borderId="0" xfId="0"/>
    <xf numFmtId="0" fontId="9" fillId="4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 wrapText="1"/>
    </xf>
    <xf numFmtId="0" fontId="0" fillId="0" borderId="0" xfId="0"/>
    <xf numFmtId="0" fontId="10" fillId="0" borderId="2" xfId="0" applyFont="1" applyBorder="1" applyAlignment="1">
      <alignment horizontal="left" wrapText="1"/>
    </xf>
    <xf numFmtId="0" fontId="11" fillId="2" borderId="0" xfId="0" applyFont="1" applyFill="1" applyAlignment="1">
      <alignment wrapText="1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1" fillId="0" borderId="0" xfId="0" applyFont="1" applyAlignment="1">
      <alignment wrapText="1"/>
    </xf>
    <xf numFmtId="0" fontId="5" fillId="0" borderId="0" xfId="0" applyNumberFormat="1" applyFont="1" applyFill="1" applyBorder="1" applyAlignment="1">
      <alignment vertical="center" wrapText="1" readingOrder="1"/>
    </xf>
    <xf numFmtId="0" fontId="5" fillId="0" borderId="4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readingOrder="1"/>
    </xf>
    <xf numFmtId="0" fontId="4" fillId="0" borderId="4" xfId="0" applyNumberFormat="1" applyFont="1" applyFill="1" applyBorder="1" applyAlignment="1">
      <alignment vertical="top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0" fontId="9" fillId="3" borderId="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10" fontId="10" fillId="0" borderId="2" xfId="1" applyNumberFormat="1" applyFont="1" applyBorder="1" applyAlignment="1">
      <alignment horizontal="center"/>
    </xf>
    <xf numFmtId="10" fontId="11" fillId="2" borderId="0" xfId="1" applyNumberFormat="1" applyFont="1" applyFill="1" applyAlignment="1">
      <alignment horizontal="center"/>
    </xf>
    <xf numFmtId="10" fontId="11" fillId="0" borderId="0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10" fontId="10" fillId="0" borderId="0" xfId="1" applyNumberFormat="1" applyFont="1" applyFill="1" applyAlignment="1">
      <alignment horizontal="center"/>
    </xf>
    <xf numFmtId="10" fontId="10" fillId="2" borderId="0" xfId="1" applyNumberFormat="1" applyFont="1" applyFill="1" applyAlignment="1">
      <alignment horizontal="center"/>
    </xf>
    <xf numFmtId="167" fontId="10" fillId="5" borderId="0" xfId="0" applyNumberFormat="1" applyFont="1" applyFill="1" applyAlignment="1">
      <alignment horizontal="right"/>
    </xf>
    <xf numFmtId="167" fontId="10" fillId="0" borderId="2" xfId="0" applyNumberFormat="1" applyFont="1" applyBorder="1" applyAlignment="1">
      <alignment horizontal="right"/>
    </xf>
    <xf numFmtId="167" fontId="11" fillId="2" borderId="0" xfId="0" applyNumberFormat="1" applyFont="1" applyFill="1" applyAlignment="1">
      <alignment horizontal="right"/>
    </xf>
    <xf numFmtId="167" fontId="11" fillId="0" borderId="0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7" fontId="10" fillId="0" borderId="0" xfId="0" applyNumberFormat="1" applyFont="1" applyFill="1" applyAlignment="1">
      <alignment horizontal="right"/>
    </xf>
    <xf numFmtId="167" fontId="10" fillId="2" borderId="0" xfId="0" applyNumberFormat="1" applyFont="1" applyFill="1" applyAlignment="1">
      <alignment horizontal="right"/>
    </xf>
    <xf numFmtId="39" fontId="11" fillId="0" borderId="0" xfId="0" applyNumberFormat="1" applyFont="1" applyAlignment="1">
      <alignment horizontal="right"/>
    </xf>
    <xf numFmtId="10" fontId="11" fillId="0" borderId="0" xfId="1" applyNumberFormat="1" applyFont="1" applyAlignment="1">
      <alignment horizontal="right"/>
    </xf>
    <xf numFmtId="168" fontId="10" fillId="0" borderId="2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10" fontId="9" fillId="3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169" fontId="10" fillId="5" borderId="0" xfId="1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/>
    <xf numFmtId="0" fontId="14" fillId="0" borderId="0" xfId="0" applyFont="1" applyAlignment="1"/>
    <xf numFmtId="0" fontId="2" fillId="2" borderId="0" xfId="0" applyFont="1" applyFill="1" applyAlignment="1">
      <alignment horizontal="left" vertical="top" indent="1"/>
    </xf>
    <xf numFmtId="0" fontId="0" fillId="0" borderId="0" xfId="0" applyFont="1" applyFill="1" applyAlignment="1"/>
    <xf numFmtId="0" fontId="0" fillId="0" borderId="0" xfId="0" applyFont="1" applyAlignment="1"/>
    <xf numFmtId="0" fontId="9" fillId="3" borderId="5" xfId="0" applyFont="1" applyFill="1" applyBorder="1" applyAlignment="1">
      <alignment horizontal="center" vertical="center" wrapText="1"/>
    </xf>
    <xf numFmtId="164" fontId="0" fillId="0" borderId="0" xfId="8" applyFont="1"/>
    <xf numFmtId="0" fontId="0" fillId="0" borderId="0" xfId="0" applyAlignment="1"/>
    <xf numFmtId="170" fontId="0" fillId="0" borderId="0" xfId="0" applyNumberFormat="1"/>
    <xf numFmtId="0" fontId="16" fillId="0" borderId="13" xfId="0" applyFont="1" applyBorder="1" applyAlignment="1"/>
    <xf numFmtId="170" fontId="2" fillId="0" borderId="15" xfId="0" applyNumberFormat="1" applyFont="1" applyBorder="1" applyAlignment="1">
      <alignment horizontal="center"/>
    </xf>
    <xf numFmtId="170" fontId="2" fillId="0" borderId="0" xfId="0" applyNumberFormat="1" applyFont="1" applyBorder="1" applyAlignment="1">
      <alignment horizontal="center"/>
    </xf>
    <xf numFmtId="0" fontId="16" fillId="0" borderId="16" xfId="0" applyFont="1" applyBorder="1" applyAlignment="1"/>
    <xf numFmtId="0" fontId="0" fillId="0" borderId="0" xfId="0" applyBorder="1"/>
    <xf numFmtId="170" fontId="2" fillId="6" borderId="15" xfId="0" applyNumberFormat="1" applyFont="1" applyFill="1" applyBorder="1" applyAlignment="1">
      <alignment horizontal="center"/>
    </xf>
    <xf numFmtId="170" fontId="2" fillId="6" borderId="0" xfId="0" applyNumberFormat="1" applyFont="1" applyFill="1" applyBorder="1" applyAlignment="1">
      <alignment horizontal="center"/>
    </xf>
    <xf numFmtId="0" fontId="16" fillId="6" borderId="0" xfId="0" applyFont="1" applyFill="1" applyBorder="1" applyAlignment="1"/>
    <xf numFmtId="0" fontId="17" fillId="6" borderId="16" xfId="0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70" fontId="2" fillId="0" borderId="18" xfId="0" applyNumberFormat="1" applyFont="1" applyBorder="1" applyAlignment="1">
      <alignment horizontal="center"/>
    </xf>
    <xf numFmtId="170" fontId="2" fillId="0" borderId="19" xfId="0" applyNumberFormat="1" applyFont="1" applyBorder="1" applyAlignment="1">
      <alignment horizontal="center"/>
    </xf>
    <xf numFmtId="0" fontId="16" fillId="0" borderId="20" xfId="0" applyFont="1" applyBorder="1" applyAlignment="1"/>
    <xf numFmtId="10" fontId="0" fillId="0" borderId="0" xfId="1" applyNumberFormat="1" applyFont="1"/>
    <xf numFmtId="169" fontId="0" fillId="0" borderId="0" xfId="1" applyNumberFormat="1" applyFont="1"/>
    <xf numFmtId="9" fontId="0" fillId="0" borderId="0" xfId="1" applyFont="1"/>
    <xf numFmtId="172" fontId="0" fillId="0" borderId="0" xfId="8" applyNumberFormat="1" applyFont="1"/>
    <xf numFmtId="0" fontId="13" fillId="8" borderId="0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left" vertical="center" wrapText="1"/>
    </xf>
    <xf numFmtId="172" fontId="0" fillId="0" borderId="0" xfId="0" applyNumberFormat="1"/>
    <xf numFmtId="165" fontId="0" fillId="0" borderId="0" xfId="6" applyFont="1"/>
    <xf numFmtId="167" fontId="0" fillId="0" borderId="0" xfId="0" applyNumberFormat="1" applyFont="1"/>
    <xf numFmtId="174" fontId="0" fillId="0" borderId="0" xfId="1" applyNumberFormat="1" applyFont="1"/>
    <xf numFmtId="174" fontId="0" fillId="0" borderId="0" xfId="0" applyNumberFormat="1"/>
    <xf numFmtId="10" fontId="0" fillId="0" borderId="0" xfId="0" applyNumberFormat="1"/>
    <xf numFmtId="0" fontId="8" fillId="0" borderId="0" xfId="0" applyFont="1" applyFill="1" applyAlignment="1">
      <alignment horizontal="center"/>
    </xf>
    <xf numFmtId="10" fontId="11" fillId="0" borderId="7" xfId="0" applyNumberFormat="1" applyFont="1" applyBorder="1" applyAlignment="1">
      <alignment horizontal="center" vertical="center" wrapText="1"/>
    </xf>
    <xf numFmtId="174" fontId="10" fillId="5" borderId="0" xfId="1" applyNumberFormat="1" applyFont="1" applyFill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7" fontId="0" fillId="0" borderId="0" xfId="0" applyNumberFormat="1"/>
    <xf numFmtId="164" fontId="0" fillId="0" borderId="0" xfId="8" applyFont="1" applyBorder="1"/>
    <xf numFmtId="0" fontId="19" fillId="0" borderId="0" xfId="0" applyFont="1"/>
    <xf numFmtId="0" fontId="20" fillId="0" borderId="0" xfId="0" applyFont="1" applyFill="1" applyAlignment="1">
      <alignment vertical="center"/>
    </xf>
    <xf numFmtId="0" fontId="8" fillId="0" borderId="0" xfId="0" applyFont="1"/>
    <xf numFmtId="164" fontId="0" fillId="0" borderId="0" xfId="0" applyNumberFormat="1"/>
    <xf numFmtId="43" fontId="0" fillId="0" borderId="0" xfId="10" applyFont="1"/>
    <xf numFmtId="43" fontId="0" fillId="0" borderId="0" xfId="0" applyNumberFormat="1"/>
    <xf numFmtId="0" fontId="21" fillId="0" borderId="0" xfId="0" applyFont="1"/>
    <xf numFmtId="0" fontId="0" fillId="0" borderId="0" xfId="0" applyFill="1"/>
    <xf numFmtId="0" fontId="14" fillId="0" borderId="0" xfId="0" applyFont="1" applyAlignment="1">
      <alignment horizontal="left"/>
    </xf>
    <xf numFmtId="10" fontId="0" fillId="0" borderId="0" xfId="1" applyNumberFormat="1" applyFont="1" applyBorder="1"/>
    <xf numFmtId="4" fontId="2" fillId="0" borderId="12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0" fillId="0" borderId="0" xfId="0" applyNumberFormat="1"/>
    <xf numFmtId="173" fontId="0" fillId="0" borderId="0" xfId="1" applyNumberFormat="1" applyFont="1"/>
    <xf numFmtId="0" fontId="22" fillId="0" borderId="0" xfId="0" applyFont="1" applyAlignment="1">
      <alignment horizontal="left" vertical="center" wrapText="1" indent="1"/>
    </xf>
    <xf numFmtId="0" fontId="8" fillId="0" borderId="0" xfId="0" applyFont="1" applyFill="1" applyAlignment="1">
      <alignment horizontal="center"/>
    </xf>
    <xf numFmtId="169" fontId="0" fillId="0" borderId="0" xfId="0" applyNumberFormat="1"/>
    <xf numFmtId="0" fontId="8" fillId="0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3" fontId="0" fillId="0" borderId="0" xfId="0" applyNumberFormat="1"/>
    <xf numFmtId="0" fontId="25" fillId="5" borderId="0" xfId="0" applyFont="1" applyFill="1" applyAlignment="1">
      <alignment horizontal="left" wrapText="1"/>
    </xf>
    <xf numFmtId="167" fontId="25" fillId="5" borderId="0" xfId="0" applyNumberFormat="1" applyFont="1" applyFill="1" applyAlignment="1">
      <alignment horizontal="center"/>
    </xf>
    <xf numFmtId="10" fontId="25" fillId="5" borderId="0" xfId="1" applyNumberFormat="1" applyFont="1" applyFill="1" applyAlignment="1">
      <alignment horizontal="center"/>
    </xf>
    <xf numFmtId="0" fontId="25" fillId="0" borderId="2" xfId="0" applyFont="1" applyBorder="1" applyAlignment="1">
      <alignment horizontal="left" wrapText="1"/>
    </xf>
    <xf numFmtId="167" fontId="25" fillId="0" borderId="2" xfId="0" applyNumberFormat="1" applyFont="1" applyBorder="1" applyAlignment="1">
      <alignment horizontal="center"/>
    </xf>
    <xf numFmtId="10" fontId="25" fillId="0" borderId="2" xfId="1" applyNumberFormat="1" applyFont="1" applyBorder="1" applyAlignment="1">
      <alignment horizontal="center"/>
    </xf>
    <xf numFmtId="0" fontId="26" fillId="2" borderId="0" xfId="0" applyFont="1" applyFill="1" applyAlignment="1">
      <alignment wrapText="1"/>
    </xf>
    <xf numFmtId="167" fontId="26" fillId="2" borderId="0" xfId="0" applyNumberFormat="1" applyFont="1" applyFill="1" applyAlignment="1">
      <alignment horizontal="center"/>
    </xf>
    <xf numFmtId="10" fontId="26" fillId="2" borderId="0" xfId="1" applyNumberFormat="1" applyFont="1" applyFill="1" applyAlignment="1">
      <alignment horizontal="center"/>
    </xf>
    <xf numFmtId="0" fontId="26" fillId="0" borderId="0" xfId="0" applyFont="1" applyBorder="1" applyAlignment="1">
      <alignment horizontal="left" wrapText="1"/>
    </xf>
    <xf numFmtId="167" fontId="26" fillId="0" borderId="0" xfId="0" applyNumberFormat="1" applyFont="1" applyBorder="1" applyAlignment="1">
      <alignment horizontal="center"/>
    </xf>
    <xf numFmtId="10" fontId="26" fillId="0" borderId="0" xfId="1" applyNumberFormat="1" applyFont="1" applyBorder="1" applyAlignment="1">
      <alignment horizontal="center"/>
    </xf>
    <xf numFmtId="0" fontId="25" fillId="0" borderId="0" xfId="0" applyFont="1" applyBorder="1" applyAlignment="1">
      <alignment horizontal="left" wrapText="1"/>
    </xf>
    <xf numFmtId="167" fontId="25" fillId="0" borderId="0" xfId="0" applyNumberFormat="1" applyFont="1" applyBorder="1" applyAlignment="1">
      <alignment horizontal="center"/>
    </xf>
    <xf numFmtId="10" fontId="25" fillId="0" borderId="0" xfId="1" applyNumberFormat="1" applyFont="1" applyBorder="1" applyAlignment="1">
      <alignment horizontal="center"/>
    </xf>
    <xf numFmtId="0" fontId="25" fillId="0" borderId="0" xfId="0" applyFont="1" applyFill="1" applyAlignment="1">
      <alignment horizontal="left" wrapText="1"/>
    </xf>
    <xf numFmtId="167" fontId="25" fillId="0" borderId="0" xfId="0" applyNumberFormat="1" applyFont="1" applyFill="1" applyAlignment="1">
      <alignment horizontal="center"/>
    </xf>
    <xf numFmtId="10" fontId="25" fillId="0" borderId="0" xfId="1" applyNumberFormat="1" applyFont="1" applyFill="1" applyAlignment="1">
      <alignment horizontal="center"/>
    </xf>
    <xf numFmtId="0" fontId="25" fillId="2" borderId="0" xfId="0" applyFont="1" applyFill="1" applyAlignment="1">
      <alignment horizontal="left" wrapText="1"/>
    </xf>
    <xf numFmtId="167" fontId="25" fillId="2" borderId="0" xfId="0" applyNumberFormat="1" applyFont="1" applyFill="1" applyAlignment="1">
      <alignment horizontal="center"/>
    </xf>
    <xf numFmtId="10" fontId="25" fillId="2" borderId="0" xfId="1" applyNumberFormat="1" applyFont="1" applyFill="1" applyAlignment="1">
      <alignment horizontal="center"/>
    </xf>
    <xf numFmtId="0" fontId="26" fillId="0" borderId="0" xfId="0" applyFont="1" applyAlignment="1">
      <alignment wrapText="1"/>
    </xf>
    <xf numFmtId="39" fontId="26" fillId="0" borderId="0" xfId="0" applyNumberFormat="1" applyFont="1" applyAlignment="1">
      <alignment horizontal="center"/>
    </xf>
    <xf numFmtId="170" fontId="26" fillId="0" borderId="19" xfId="0" applyNumberFormat="1" applyFont="1" applyBorder="1" applyAlignment="1">
      <alignment horizontal="center"/>
    </xf>
    <xf numFmtId="170" fontId="26" fillId="0" borderId="18" xfId="0" applyNumberFormat="1" applyFont="1" applyBorder="1" applyAlignment="1">
      <alignment horizontal="center"/>
    </xf>
    <xf numFmtId="170" fontId="26" fillId="0" borderId="12" xfId="0" applyNumberFormat="1" applyFont="1" applyBorder="1" applyAlignment="1">
      <alignment horizontal="center"/>
    </xf>
    <xf numFmtId="4" fontId="26" fillId="0" borderId="11" xfId="0" applyNumberFormat="1" applyFont="1" applyBorder="1" applyAlignment="1">
      <alignment horizontal="center"/>
    </xf>
    <xf numFmtId="0" fontId="25" fillId="6" borderId="16" xfId="0" applyFont="1" applyFill="1" applyBorder="1" applyAlignment="1">
      <alignment horizontal="center" vertical="center"/>
    </xf>
    <xf numFmtId="170" fontId="26" fillId="6" borderId="0" xfId="0" applyNumberFormat="1" applyFont="1" applyFill="1" applyBorder="1" applyAlignment="1">
      <alignment horizontal="center"/>
    </xf>
    <xf numFmtId="170" fontId="26" fillId="6" borderId="15" xfId="0" applyNumberFormat="1" applyFont="1" applyFill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4" fontId="26" fillId="0" borderId="15" xfId="0" applyNumberFormat="1" applyFont="1" applyBorder="1" applyAlignment="1">
      <alignment horizontal="center"/>
    </xf>
    <xf numFmtId="170" fontId="26" fillId="0" borderId="0" xfId="0" applyNumberFormat="1" applyFont="1" applyBorder="1" applyAlignment="1">
      <alignment horizontal="center"/>
    </xf>
    <xf numFmtId="170" fontId="26" fillId="0" borderId="15" xfId="0" applyNumberFormat="1" applyFont="1" applyBorder="1" applyAlignment="1">
      <alignment horizontal="center"/>
    </xf>
    <xf numFmtId="170" fontId="26" fillId="0" borderId="11" xfId="0" applyNumberFormat="1" applyFont="1" applyBorder="1" applyAlignment="1">
      <alignment horizontal="center"/>
    </xf>
    <xf numFmtId="4" fontId="26" fillId="0" borderId="19" xfId="0" applyNumberFormat="1" applyFont="1" applyBorder="1" applyAlignment="1">
      <alignment horizontal="center"/>
    </xf>
    <xf numFmtId="4" fontId="26" fillId="0" borderId="18" xfId="0" applyNumberFormat="1" applyFont="1" applyBorder="1" applyAlignment="1">
      <alignment horizontal="center"/>
    </xf>
    <xf numFmtId="4" fontId="26" fillId="0" borderId="12" xfId="0" applyNumberFormat="1" applyFont="1" applyBorder="1" applyAlignment="1">
      <alignment horizontal="center"/>
    </xf>
    <xf numFmtId="0" fontId="26" fillId="0" borderId="20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0" fontId="26" fillId="6" borderId="0" xfId="0" applyFont="1" applyFill="1" applyBorder="1" applyAlignment="1">
      <alignment horizontal="left"/>
    </xf>
    <xf numFmtId="0" fontId="26" fillId="0" borderId="16" xfId="0" applyFont="1" applyBorder="1" applyAlignment="1">
      <alignment horizontal="left"/>
    </xf>
    <xf numFmtId="0" fontId="30" fillId="7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10" fontId="32" fillId="0" borderId="7" xfId="0" applyNumberFormat="1" applyFont="1" applyBorder="1" applyAlignment="1">
      <alignment horizontal="center" vertical="center" wrapText="1"/>
    </xf>
    <xf numFmtId="0" fontId="30" fillId="7" borderId="5" xfId="0" applyFont="1" applyFill="1" applyBorder="1" applyAlignment="1">
      <alignment horizontal="center" vertical="center" wrapText="1"/>
    </xf>
    <xf numFmtId="10" fontId="30" fillId="7" borderId="5" xfId="0" applyNumberFormat="1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vertical="center" wrapText="1"/>
    </xf>
    <xf numFmtId="171" fontId="26" fillId="9" borderId="7" xfId="5" applyNumberFormat="1" applyFont="1" applyFill="1" applyBorder="1" applyAlignment="1">
      <alignment vertical="center"/>
    </xf>
    <xf numFmtId="171" fontId="26" fillId="0" borderId="7" xfId="5" applyNumberFormat="1" applyFont="1" applyFill="1" applyBorder="1" applyAlignment="1">
      <alignment vertical="center"/>
    </xf>
    <xf numFmtId="171" fontId="34" fillId="0" borderId="7" xfId="5" applyNumberFormat="1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vertical="center" wrapText="1"/>
    </xf>
    <xf numFmtId="171" fontId="25" fillId="5" borderId="7" xfId="5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 wrapText="1"/>
    </xf>
    <xf numFmtId="171" fontId="26" fillId="0" borderId="25" xfId="5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top" wrapText="1"/>
    </xf>
    <xf numFmtId="0" fontId="33" fillId="2" borderId="6" xfId="0" applyFont="1" applyFill="1" applyBorder="1" applyAlignment="1">
      <alignment vertical="center" wrapText="1"/>
    </xf>
    <xf numFmtId="171" fontId="26" fillId="9" borderId="6" xfId="5" applyNumberFormat="1" applyFont="1" applyFill="1" applyBorder="1" applyAlignment="1">
      <alignment vertical="center"/>
    </xf>
    <xf numFmtId="171" fontId="26" fillId="0" borderId="6" xfId="5" applyNumberFormat="1" applyFont="1" applyFill="1" applyBorder="1" applyAlignment="1">
      <alignment vertical="center"/>
    </xf>
    <xf numFmtId="171" fontId="34" fillId="0" borderId="6" xfId="5" applyNumberFormat="1" applyFont="1" applyFill="1" applyBorder="1" applyAlignment="1">
      <alignment horizontal="center" vertical="center"/>
    </xf>
    <xf numFmtId="0" fontId="24" fillId="12" borderId="26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wrapText="1"/>
    </xf>
    <xf numFmtId="171" fontId="26" fillId="10" borderId="7" xfId="5" applyNumberFormat="1" applyFont="1" applyFill="1" applyBorder="1"/>
    <xf numFmtId="171" fontId="26" fillId="0" borderId="7" xfId="5" applyNumberFormat="1" applyFont="1" applyBorder="1"/>
    <xf numFmtId="0" fontId="33" fillId="11" borderId="7" xfId="0" applyFont="1" applyFill="1" applyBorder="1" applyAlignment="1">
      <alignment wrapText="1"/>
    </xf>
    <xf numFmtId="171" fontId="25" fillId="11" borderId="7" xfId="5" applyNumberFormat="1" applyFont="1" applyFill="1" applyBorder="1"/>
    <xf numFmtId="171" fontId="24" fillId="12" borderId="7" xfId="5" applyNumberFormat="1" applyFont="1" applyFill="1" applyBorder="1" applyAlignment="1">
      <alignment vertical="center"/>
    </xf>
    <xf numFmtId="0" fontId="24" fillId="12" borderId="2" xfId="0" applyFont="1" applyFill="1" applyBorder="1" applyAlignment="1">
      <alignment horizontal="center" vertical="center" wrapText="1"/>
    </xf>
    <xf numFmtId="165" fontId="36" fillId="0" borderId="2" xfId="6" applyNumberFormat="1" applyFont="1" applyBorder="1" applyAlignment="1">
      <alignment horizontal="left" wrapText="1"/>
    </xf>
    <xf numFmtId="168" fontId="36" fillId="0" borderId="2" xfId="0" applyNumberFormat="1" applyFont="1" applyBorder="1" applyAlignment="1">
      <alignment horizontal="right" vertical="center"/>
    </xf>
    <xf numFmtId="165" fontId="37" fillId="0" borderId="0" xfId="6" applyFont="1" applyAlignment="1">
      <alignment horizontal="left" wrapText="1" indent="1"/>
    </xf>
    <xf numFmtId="168" fontId="37" fillId="0" borderId="0" xfId="0" applyNumberFormat="1" applyFont="1" applyAlignment="1">
      <alignment horizontal="right" vertical="center"/>
    </xf>
    <xf numFmtId="168" fontId="37" fillId="0" borderId="0" xfId="0" applyNumberFormat="1" applyFont="1" applyFill="1" applyAlignment="1">
      <alignment horizontal="right" vertical="center"/>
    </xf>
    <xf numFmtId="168" fontId="36" fillId="5" borderId="0" xfId="0" applyNumberFormat="1" applyFont="1" applyFill="1" applyAlignment="1">
      <alignment horizontal="left" vertical="center"/>
    </xf>
    <xf numFmtId="168" fontId="36" fillId="5" borderId="0" xfId="0" applyNumberFormat="1" applyFont="1" applyFill="1" applyAlignment="1">
      <alignment horizontal="right" vertical="center"/>
    </xf>
    <xf numFmtId="0" fontId="27" fillId="12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wrapText="1"/>
    </xf>
    <xf numFmtId="168" fontId="25" fillId="0" borderId="2" xfId="0" applyNumberFormat="1" applyFont="1" applyFill="1" applyBorder="1" applyAlignment="1">
      <alignment horizontal="right" vertical="center" wrapText="1"/>
    </xf>
    <xf numFmtId="0" fontId="26" fillId="0" borderId="0" xfId="0" applyFont="1" applyFill="1" applyAlignment="1">
      <alignment horizontal="left" wrapText="1"/>
    </xf>
    <xf numFmtId="168" fontId="26" fillId="0" borderId="0" xfId="0" applyNumberFormat="1" applyFont="1" applyFill="1" applyAlignment="1">
      <alignment horizontal="center" vertical="center" wrapText="1"/>
    </xf>
    <xf numFmtId="168" fontId="26" fillId="0" borderId="0" xfId="0" applyNumberFormat="1" applyFont="1" applyFill="1" applyAlignment="1">
      <alignment horizontal="right" vertical="center" wrapText="1"/>
    </xf>
    <xf numFmtId="0" fontId="26" fillId="0" borderId="0" xfId="0" applyFont="1" applyFill="1" applyAlignment="1">
      <alignment horizontal="left" vertical="center" wrapText="1"/>
    </xf>
    <xf numFmtId="168" fontId="25" fillId="5" borderId="0" xfId="0" applyNumberFormat="1" applyFont="1" applyFill="1" applyAlignment="1">
      <alignment horizontal="right" vertical="center" wrapText="1"/>
    </xf>
    <xf numFmtId="10" fontId="26" fillId="0" borderId="0" xfId="1" applyNumberFormat="1" applyFont="1" applyAlignment="1">
      <alignment horizontal="center"/>
    </xf>
    <xf numFmtId="0" fontId="26" fillId="0" borderId="0" xfId="0" applyFont="1" applyAlignment="1">
      <alignment horizontal="left" wrapText="1" indent="1"/>
    </xf>
    <xf numFmtId="0" fontId="24" fillId="12" borderId="1" xfId="0" applyFont="1" applyFill="1" applyBorder="1" applyAlignment="1">
      <alignment horizontal="left"/>
    </xf>
    <xf numFmtId="167" fontId="24" fillId="12" borderId="1" xfId="0" applyNumberFormat="1" applyFont="1" applyFill="1" applyBorder="1" applyAlignment="1">
      <alignment horizontal="right" vertical="center"/>
    </xf>
    <xf numFmtId="167" fontId="25" fillId="0" borderId="2" xfId="5" applyNumberFormat="1" applyFont="1" applyBorder="1" applyAlignment="1">
      <alignment horizontal="right" vertical="center"/>
    </xf>
    <xf numFmtId="167" fontId="26" fillId="0" borderId="0" xfId="5" applyNumberFormat="1" applyFont="1" applyAlignment="1">
      <alignment horizontal="right" vertical="center"/>
    </xf>
    <xf numFmtId="167" fontId="37" fillId="0" borderId="0" xfId="8" applyNumberFormat="1" applyFont="1"/>
    <xf numFmtId="167" fontId="37" fillId="0" borderId="0" xfId="8" applyNumberFormat="1" applyFont="1" applyAlignment="1">
      <alignment horizontal="right"/>
    </xf>
    <xf numFmtId="165" fontId="37" fillId="0" borderId="0" xfId="6" applyFont="1"/>
    <xf numFmtId="167" fontId="37" fillId="0" borderId="0" xfId="0" applyNumberFormat="1" applyFont="1"/>
    <xf numFmtId="0" fontId="38" fillId="5" borderId="0" xfId="0" applyFont="1" applyFill="1" applyBorder="1" applyAlignment="1">
      <alignment horizontal="left"/>
    </xf>
    <xf numFmtId="167" fontId="39" fillId="5" borderId="0" xfId="0" applyNumberFormat="1" applyFont="1" applyFill="1"/>
    <xf numFmtId="0" fontId="27" fillId="13" borderId="0" xfId="0" applyFont="1" applyFill="1"/>
    <xf numFmtId="0" fontId="27" fillId="13" borderId="0" xfId="0" applyFont="1" applyFill="1" applyAlignment="1">
      <alignment horizontal="center"/>
    </xf>
    <xf numFmtId="0" fontId="37" fillId="0" borderId="0" xfId="0" applyFont="1"/>
    <xf numFmtId="0" fontId="27" fillId="13" borderId="0" xfId="0" applyFont="1" applyFill="1" applyAlignment="1">
      <alignment horizontal="center" vertical="center"/>
    </xf>
    <xf numFmtId="0" fontId="40" fillId="13" borderId="2" xfId="0" applyFont="1" applyFill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29" fillId="13" borderId="0" xfId="0" applyFont="1" applyFill="1" applyAlignment="1">
      <alignment horizontal="center" vertical="center" wrapText="1"/>
    </xf>
    <xf numFmtId="10" fontId="25" fillId="0" borderId="2" xfId="1" applyNumberFormat="1" applyFont="1" applyBorder="1" applyAlignment="1">
      <alignment horizontal="right" vertical="center"/>
    </xf>
    <xf numFmtId="10" fontId="26" fillId="0" borderId="0" xfId="1" applyNumberFormat="1" applyFont="1" applyAlignment="1">
      <alignment horizontal="right" vertical="center"/>
    </xf>
    <xf numFmtId="0" fontId="37" fillId="0" borderId="0" xfId="0" applyFont="1" applyAlignment="1">
      <alignment horizontal="left" wrapText="1" indent="1"/>
    </xf>
    <xf numFmtId="0" fontId="37" fillId="0" borderId="0" xfId="0" applyFont="1" applyAlignment="1">
      <alignment horizontal="left" indent="1"/>
    </xf>
    <xf numFmtId="0" fontId="24" fillId="13" borderId="0" xfId="0" applyFont="1" applyFill="1" applyAlignment="1">
      <alignment horizontal="center" vertical="center" wrapText="1"/>
    </xf>
    <xf numFmtId="10" fontId="24" fillId="12" borderId="1" xfId="1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left" vertical="center" wrapText="1" indent="1"/>
    </xf>
    <xf numFmtId="0" fontId="24" fillId="4" borderId="2" xfId="0" applyFont="1" applyFill="1" applyBorder="1" applyAlignment="1">
      <alignment horizontal="center" vertical="center" wrapText="1"/>
    </xf>
    <xf numFmtId="10" fontId="32" fillId="2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29" fillId="13" borderId="2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horizontal="center" vertical="top" readingOrder="1"/>
    </xf>
    <xf numFmtId="0" fontId="4" fillId="0" borderId="0" xfId="0" applyNumberFormat="1" applyFont="1" applyFill="1" applyBorder="1" applyAlignment="1">
      <alignment horizontal="center" vertical="top" readingOrder="1"/>
    </xf>
    <xf numFmtId="0" fontId="41" fillId="0" borderId="3" xfId="0" applyNumberFormat="1" applyFont="1" applyFill="1" applyBorder="1" applyAlignment="1">
      <alignment horizontal="center" vertical="top" wrapText="1" readingOrder="1"/>
    </xf>
    <xf numFmtId="0" fontId="41" fillId="0" borderId="0" xfId="0" applyNumberFormat="1" applyFont="1" applyFill="1" applyBorder="1" applyAlignment="1">
      <alignment horizontal="center" vertical="top" wrapText="1" readingOrder="1"/>
    </xf>
    <xf numFmtId="0" fontId="14" fillId="0" borderId="0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left" wrapText="1"/>
    </xf>
    <xf numFmtId="0" fontId="27" fillId="7" borderId="20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5" fillId="2" borderId="17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0" fillId="0" borderId="0" xfId="0" applyAlignment="1">
      <alignment horizontal="left" vertical="top" wrapText="1"/>
    </xf>
    <xf numFmtId="0" fontId="14" fillId="0" borderId="0" xfId="0" applyFont="1" applyBorder="1" applyAlignment="1">
      <alignment horizontal="center" vertical="center"/>
    </xf>
    <xf numFmtId="9" fontId="9" fillId="3" borderId="9" xfId="1" applyFont="1" applyFill="1" applyBorder="1" applyAlignment="1">
      <alignment horizontal="center" vertical="center" wrapText="1"/>
    </xf>
    <xf numFmtId="9" fontId="9" fillId="3" borderId="1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left" vertical="center" wrapText="1"/>
    </xf>
    <xf numFmtId="0" fontId="30" fillId="7" borderId="5" xfId="0" applyFont="1" applyFill="1" applyBorder="1" applyAlignment="1">
      <alignment horizontal="center" vertical="center" wrapText="1"/>
    </xf>
    <xf numFmtId="0" fontId="30" fillId="7" borderId="6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wrapText="1"/>
    </xf>
    <xf numFmtId="0" fontId="30" fillId="7" borderId="10" xfId="0" applyFont="1" applyFill="1" applyBorder="1" applyAlignment="1">
      <alignment horizontal="center" vertical="center" wrapText="1"/>
    </xf>
    <xf numFmtId="9" fontId="30" fillId="7" borderId="9" xfId="1" applyFont="1" applyFill="1" applyBorder="1" applyAlignment="1">
      <alignment horizontal="center" vertical="center" wrapText="1"/>
    </xf>
    <xf numFmtId="9" fontId="30" fillId="7" borderId="10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21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0" borderId="8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24" fillId="12" borderId="26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7" fillId="13" borderId="26" xfId="0" applyFont="1" applyFill="1" applyBorder="1" applyAlignment="1">
      <alignment horizontal="center"/>
    </xf>
    <xf numFmtId="0" fontId="24" fillId="12" borderId="7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2" borderId="2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7" fillId="13" borderId="0" xfId="0" applyFont="1" applyFill="1" applyAlignment="1">
      <alignment horizontal="center" vertical="center" wrapText="1"/>
    </xf>
    <xf numFmtId="0" fontId="27" fillId="13" borderId="0" xfId="0" applyFont="1" applyFill="1" applyAlignment="1">
      <alignment horizontal="center" wrapText="1"/>
    </xf>
    <xf numFmtId="0" fontId="29" fillId="13" borderId="22" xfId="0" applyFont="1" applyFill="1" applyBorder="1" applyAlignment="1">
      <alignment horizontal="center" vertical="center"/>
    </xf>
    <xf numFmtId="0" fontId="29" fillId="13" borderId="0" xfId="0" applyFont="1" applyFill="1" applyAlignment="1">
      <alignment horizontal="center" vertical="center"/>
    </xf>
    <xf numFmtId="0" fontId="29" fillId="13" borderId="23" xfId="0" applyFont="1" applyFill="1" applyBorder="1" applyAlignment="1">
      <alignment horizontal="center" vertical="center" wrapText="1"/>
    </xf>
    <xf numFmtId="0" fontId="29" fillId="13" borderId="2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/>
    </xf>
    <xf numFmtId="0" fontId="0" fillId="0" borderId="0" xfId="0" applyFill="1" applyBorder="1"/>
    <xf numFmtId="4" fontId="37" fillId="0" borderId="0" xfId="9" applyNumberFormat="1" applyFont="1" applyAlignment="1">
      <alignment horizontal="center" vertical="center"/>
    </xf>
    <xf numFmtId="4" fontId="37" fillId="0" borderId="0" xfId="0" applyNumberFormat="1" applyFont="1" applyAlignment="1">
      <alignment horizontal="center" vertical="center"/>
    </xf>
    <xf numFmtId="4" fontId="27" fillId="13" borderId="0" xfId="9" applyNumberFormat="1" applyFont="1" applyFill="1" applyAlignment="1">
      <alignment horizontal="center" vertical="center"/>
    </xf>
    <xf numFmtId="4" fontId="27" fillId="1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1" fontId="35" fillId="0" borderId="24" xfId="0" applyNumberFormat="1" applyFont="1" applyBorder="1" applyAlignment="1">
      <alignment horizontal="center" vertical="center"/>
    </xf>
    <xf numFmtId="171" fontId="40" fillId="13" borderId="24" xfId="0" applyNumberFormat="1" applyFont="1" applyFill="1" applyBorder="1" applyAlignment="1">
      <alignment horizontal="center" vertical="center"/>
    </xf>
    <xf numFmtId="171" fontId="35" fillId="2" borderId="24" xfId="0" applyNumberFormat="1" applyFont="1" applyFill="1" applyBorder="1" applyAlignment="1">
      <alignment horizontal="center" vertical="center"/>
    </xf>
  </cellXfs>
  <cellStyles count="12">
    <cellStyle name="Comma 2" xfId="10"/>
    <cellStyle name="Millares" xfId="8" builtinId="3"/>
    <cellStyle name="Millares 2" xfId="3"/>
    <cellStyle name="Millares 2 2" xfId="6"/>
    <cellStyle name="Millares 2 3" xfId="9"/>
    <cellStyle name="Millares 3" xfId="5"/>
    <cellStyle name="Millares 4" xfId="11"/>
    <cellStyle name="Millares 5" xfId="7"/>
    <cellStyle name="Normal" xfId="0" builtinId="0"/>
    <cellStyle name="Normal 2" xfId="2"/>
    <cellStyle name="Normal 2 2" xfId="4"/>
    <cellStyle name="Porcentaje" xfId="1" builtinId="5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Graficos!$C$2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Graficos!$D$2:$E$2</c:f>
              <c:numCache>
                <c:formatCode>_(* #,##0.0_);_(* \(#,##0.0\);_(* "-"??_);_(@_)</c:formatCode>
                <c:ptCount val="2"/>
                <c:pt idx="0">
                  <c:v>601241.821918</c:v>
                </c:pt>
                <c:pt idx="1">
                  <c:v>601291.49759397283</c:v>
                </c:pt>
              </c:numCache>
            </c:numRef>
          </c:val>
        </c:ser>
        <c:ser>
          <c:idx val="1"/>
          <c:order val="1"/>
          <c:tx>
            <c:strRef>
              <c:f>Graficos!$C$3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Graficos!$D$3:$E$3</c:f>
              <c:numCache>
                <c:formatCode>_(* #,##0.0_);_(* \(#,##0.0\);_(* "-"??_);_(@_)</c:formatCode>
                <c:ptCount val="2"/>
                <c:pt idx="0">
                  <c:v>1645.238069</c:v>
                </c:pt>
                <c:pt idx="1">
                  <c:v>2807.2527026300013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2000092560"/>
        <c:axId val="-2000089840"/>
      </c:barChart>
      <c:catAx>
        <c:axId val="-200009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0089840"/>
        <c:crosses val="autoZero"/>
        <c:auto val="1"/>
        <c:lblAlgn val="ctr"/>
        <c:lblOffset val="100"/>
        <c:noMultiLvlLbl val="0"/>
      </c:catAx>
      <c:valAx>
        <c:axId val="-2000089840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009256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08365474387982"/>
          <c:y val="0.88946704578594293"/>
          <c:w val="0.5288548285013936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Graficos!$C$24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Graficos!$D$24:$E$24</c:f>
              <c:numCache>
                <c:formatCode>_(* #,##0.0_);_(* \(#,##0.0\);_(* "-"??_);_(@_)</c:formatCode>
                <c:ptCount val="2"/>
                <c:pt idx="0">
                  <c:v>25250.618274</c:v>
                </c:pt>
                <c:pt idx="1">
                  <c:v>7565.286748499987</c:v>
                </c:pt>
              </c:numCache>
            </c:numRef>
          </c:val>
        </c:ser>
        <c:ser>
          <c:idx val="1"/>
          <c:order val="1"/>
          <c:tx>
            <c:strRef>
              <c:f>Graficos!$C$25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10027100271102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Graficos!$D$25:$E$25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548.8312238199992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00095280"/>
        <c:axId val="-2000090928"/>
      </c:barChart>
      <c:catAx>
        <c:axId val="-200009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0090928"/>
        <c:crosses val="autoZero"/>
        <c:auto val="1"/>
        <c:lblAlgn val="ctr"/>
        <c:lblOffset val="100"/>
        <c:noMultiLvlLbl val="0"/>
      </c:catAx>
      <c:valAx>
        <c:axId val="-2000090928"/>
        <c:scaling>
          <c:orientation val="minMax"/>
          <c:min val="5000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0095280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Graficos!$C$44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2.89017341040463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Graficos!$D$44:$E$44</c:f>
              <c:numCache>
                <c:formatCode>_(* #,##0.0_);_(* \(#,##0.0\);_(* "-"??_);_(@_)</c:formatCode>
                <c:ptCount val="2"/>
                <c:pt idx="0">
                  <c:v>22432.097314999999</c:v>
                </c:pt>
                <c:pt idx="1">
                  <c:v>379.24419594001159</c:v>
                </c:pt>
              </c:numCache>
            </c:numRef>
          </c:val>
        </c:ser>
        <c:ser>
          <c:idx val="1"/>
          <c:order val="1"/>
          <c:tx>
            <c:strRef>
              <c:f>Graficos!$C$45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89017341040462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Graficos!$D$45:$E$45</c:f>
              <c:numCache>
                <c:formatCode>_(* #,##0.0_);_(* \(#,##0.0\);_(* "-"??_);_(@_)</c:formatCode>
                <c:ptCount val="2"/>
                <c:pt idx="0">
                  <c:v>32.357599999999998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00098000"/>
        <c:axId val="-2000082768"/>
      </c:barChart>
      <c:catAx>
        <c:axId val="-200009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0082768"/>
        <c:crosses val="autoZero"/>
        <c:auto val="1"/>
        <c:lblAlgn val="ctr"/>
        <c:lblOffset val="100"/>
        <c:noMultiLvlLbl val="0"/>
      </c:catAx>
      <c:valAx>
        <c:axId val="-2000082768"/>
        <c:scaling>
          <c:orientation val="minMax"/>
          <c:max val="20000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0098000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Graficos!$C$63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Graficos!$D$63:$E$63</c:f>
              <c:numCache>
                <c:formatCode>_(* #,##0.0_);_(* \(#,##0.0\);_(* "-"??_);_(@_)</c:formatCode>
                <c:ptCount val="2"/>
                <c:pt idx="0">
                  <c:v>7260.6409270000004</c:v>
                </c:pt>
                <c:pt idx="1">
                  <c:v>4846.9216370000004</c:v>
                </c:pt>
              </c:numCache>
            </c:numRef>
          </c:val>
        </c:ser>
        <c:ser>
          <c:idx val="1"/>
          <c:order val="1"/>
          <c:tx>
            <c:strRef>
              <c:f>Graficos!$C$64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26865079491051E-4"/>
                  <c:y val="-2.194559495092015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Graficos!$D$64:$E$64</c:f>
              <c:numCache>
                <c:formatCode>_(* #,##0.0_);_(* \(#,##0.0\);_(* "-"??_);_(@_)</c:formatCode>
                <c:ptCount val="2"/>
                <c:pt idx="0">
                  <c:v>1269.6389859999999</c:v>
                </c:pt>
                <c:pt idx="1">
                  <c:v>429.42554200000001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00097456"/>
        <c:axId val="-2000091472"/>
      </c:barChart>
      <c:catAx>
        <c:axId val="-200009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0091472"/>
        <c:crosses val="autoZero"/>
        <c:auto val="1"/>
        <c:lblAlgn val="ctr"/>
        <c:lblOffset val="100"/>
        <c:noMultiLvlLbl val="0"/>
      </c:catAx>
      <c:valAx>
        <c:axId val="-2000091472"/>
        <c:scaling>
          <c:orientation val="minMax"/>
          <c:max val="15000"/>
          <c:min val="0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009745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Graficos!$B$83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Graficos!$C$83:$D$83</c:f>
              <c:numCache>
                <c:formatCode>_(* #,##0.0,,_);_(* \(#,##0.0,,\);_(* "-"?_);_(@_)</c:formatCode>
                <c:ptCount val="2"/>
                <c:pt idx="0">
                  <c:v>425408941582</c:v>
                </c:pt>
                <c:pt idx="1">
                  <c:v>442278058375.42322</c:v>
                </c:pt>
              </c:numCache>
            </c:numRef>
          </c:val>
        </c:ser>
        <c:ser>
          <c:idx val="1"/>
          <c:order val="1"/>
          <c:tx>
            <c:strRef>
              <c:f>Graficos!$B$84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Graficos!$C$84:$D$84</c:f>
              <c:numCache>
                <c:formatCode>_(* #,##0.0,,_);_(* \(#,##0.0,,\);_(* "-"?_);_(@_)</c:formatCode>
                <c:ptCount val="2"/>
                <c:pt idx="0">
                  <c:v>67412953193</c:v>
                </c:pt>
                <c:pt idx="1">
                  <c:v>125420999298.33014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00084400"/>
        <c:axId val="-2000093648"/>
      </c:barChart>
      <c:catAx>
        <c:axId val="-200008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0093648"/>
        <c:crosses val="autoZero"/>
        <c:auto val="1"/>
        <c:lblAlgn val="ctr"/>
        <c:lblOffset val="100"/>
        <c:noMultiLvlLbl val="0"/>
      </c:catAx>
      <c:valAx>
        <c:axId val="-2000093648"/>
        <c:scaling>
          <c:orientation val="minMax"/>
        </c:scaling>
        <c:delete val="0"/>
        <c:axPos val="l"/>
        <c:numFmt formatCode="_(* #,##0.0,,_);_(* \(#,##0.0,,\);_(* &quot;-&quot;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008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Graficos!$B$105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Graficos!$C$104:$D$104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Graficos!$C$105:$D$105</c:f>
              <c:numCache>
                <c:formatCode>_(* #,##0.0,,_);_(* \(#,##0.0,,\);_(* "-"?_);_(@_)</c:formatCode>
                <c:ptCount val="2"/>
                <c:pt idx="0">
                  <c:v>68604727393</c:v>
                </c:pt>
                <c:pt idx="1">
                  <c:v>42580148543.920052</c:v>
                </c:pt>
              </c:numCache>
            </c:numRef>
          </c:val>
        </c:ser>
        <c:ser>
          <c:idx val="1"/>
          <c:order val="1"/>
          <c:tx>
            <c:strRef>
              <c:f>Graficos!$B$106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Graficos!$C$104:$D$104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Graficos!$C$106:$D$106</c:f>
              <c:numCache>
                <c:formatCode>_(* #,##0.0,,_);_(* \(#,##0.0,,\);_(* "-"?_);_(@_)</c:formatCode>
                <c:ptCount val="2"/>
                <c:pt idx="0">
                  <c:v>9936108934</c:v>
                </c:pt>
                <c:pt idx="1">
                  <c:v>2636701066.0099993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01755824"/>
        <c:axId val="-1731076832"/>
      </c:barChart>
      <c:catAx>
        <c:axId val="-200175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31076832"/>
        <c:crosses val="autoZero"/>
        <c:auto val="1"/>
        <c:lblAlgn val="ctr"/>
        <c:lblOffset val="100"/>
        <c:noMultiLvlLbl val="0"/>
      </c:catAx>
      <c:valAx>
        <c:axId val="-1731076832"/>
        <c:scaling>
          <c:orientation val="minMax"/>
        </c:scaling>
        <c:delete val="0"/>
        <c:axPos val="l"/>
        <c:numFmt formatCode="_(* #,##0.0,,_);_(* \(#,##0.0,,\);_(* &quot;-&quot;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175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Graficos!$B$127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Graficos!$C$126:$D$126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Graficos!$C$127:$D$127</c:f>
              <c:numCache>
                <c:formatCode>_(* #,##0.0,,_);_(* \(#,##0.0,,\);_(* "-"?_);_(@_)</c:formatCode>
                <c:ptCount val="2"/>
                <c:pt idx="0">
                  <c:v>25629040024</c:v>
                </c:pt>
                <c:pt idx="1">
                  <c:v>10592102934.150003</c:v>
                </c:pt>
              </c:numCache>
            </c:numRef>
          </c:val>
        </c:ser>
        <c:ser>
          <c:idx val="1"/>
          <c:order val="1"/>
          <c:tx>
            <c:strRef>
              <c:f>Graficos!$B$128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2222222222222243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Graficos!$C$126:$D$126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Graficos!$C$128:$D$128</c:f>
              <c:numCache>
                <c:formatCode>_(* #,##0.0,,_);_(* \(#,##0.0,,\);_(* "-"?_);_(@_)</c:formatCode>
                <c:ptCount val="2"/>
                <c:pt idx="0">
                  <c:v>4733790109</c:v>
                </c:pt>
                <c:pt idx="1">
                  <c:v>77566222.160000011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31077376"/>
        <c:axId val="-1731074656"/>
      </c:barChart>
      <c:catAx>
        <c:axId val="-17310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31074656"/>
        <c:crosses val="autoZero"/>
        <c:auto val="1"/>
        <c:lblAlgn val="ctr"/>
        <c:lblOffset val="100"/>
        <c:noMultiLvlLbl val="0"/>
      </c:catAx>
      <c:valAx>
        <c:axId val="-1731074656"/>
        <c:scaling>
          <c:orientation val="minMax"/>
        </c:scaling>
        <c:delete val="0"/>
        <c:axPos val="l"/>
        <c:numFmt formatCode="_(* #,##0.0,,_);_(* \(#,##0.0,,\);_(* &quot;-&quot;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3107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Graficos!$B$149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Graficos!$C$148:$D$148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Graficos!$C$149:$D$149</c:f>
              <c:numCache>
                <c:formatCode>_(* #,##0.0,,_);_(* \(#,##0.0,,\);_(* "-"?_);_(@_)</c:formatCode>
                <c:ptCount val="2"/>
                <c:pt idx="0">
                  <c:v>11392711507</c:v>
                </c:pt>
                <c:pt idx="1">
                  <c:v>8650133843</c:v>
                </c:pt>
              </c:numCache>
            </c:numRef>
          </c:val>
        </c:ser>
        <c:ser>
          <c:idx val="1"/>
          <c:order val="1"/>
          <c:tx>
            <c:strRef>
              <c:f>Graficos!$B$150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Graficos!$C$148:$D$148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Graficos!$C$150:$D$150</c:f>
              <c:numCache>
                <c:formatCode>_(* #,##0.0,,_);_(* \(#,##0.0,,\);_(* "-"?_);_(@_)</c:formatCode>
                <c:ptCount val="2"/>
                <c:pt idx="0">
                  <c:v>6300932506</c:v>
                </c:pt>
                <c:pt idx="1">
                  <c:v>2429634673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31074112"/>
        <c:axId val="-1731073568"/>
      </c:barChart>
      <c:catAx>
        <c:axId val="-173107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31073568"/>
        <c:crosses val="autoZero"/>
        <c:auto val="1"/>
        <c:lblAlgn val="ctr"/>
        <c:lblOffset val="100"/>
        <c:noMultiLvlLbl val="0"/>
      </c:catAx>
      <c:valAx>
        <c:axId val="-1731073568"/>
        <c:scaling>
          <c:orientation val="minMax"/>
        </c:scaling>
        <c:delete val="0"/>
        <c:axPos val="l"/>
        <c:numFmt formatCode="_(* #,##0.0,,_);_(* \(#,##0.0,,\);_(* &quot;-&quot;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3107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447674</xdr:colOff>
      <xdr:row>0</xdr:row>
      <xdr:rowOff>238123</xdr:rowOff>
    </xdr:from>
    <xdr:to>
      <xdr:col>1</xdr:col>
      <xdr:colOff>349799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4" y="238123"/>
          <a:ext cx="664125" cy="695327"/>
        </a:xfrm>
        <a:prstGeom prst="rect">
          <a:avLst/>
        </a:prstGeom>
      </xdr:spPr>
    </xdr:pic>
    <xdr:clientData/>
  </xdr:twoCellAnchor>
  <xdr:twoCellAnchor editAs="oneCell">
    <xdr:from>
      <xdr:col>4</xdr:col>
      <xdr:colOff>681990</xdr:colOff>
      <xdr:row>0</xdr:row>
      <xdr:rowOff>104775</xdr:rowOff>
    </xdr:from>
    <xdr:to>
      <xdr:col>6</xdr:col>
      <xdr:colOff>413205</xdr:colOff>
      <xdr:row>3</xdr:row>
      <xdr:rowOff>133351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25415" y="104775"/>
          <a:ext cx="1436190" cy="8477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304798</xdr:colOff>
      <xdr:row>7</xdr:row>
      <xdr:rowOff>173400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304798" cy="1821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457200</xdr:colOff>
      <xdr:row>5</xdr:row>
      <xdr:rowOff>209550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5525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639900</xdr:colOff>
      <xdr:row>2</xdr:row>
      <xdr:rowOff>123825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973300" y="9525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38100</xdr:rowOff>
    </xdr:from>
    <xdr:to>
      <xdr:col>0</xdr:col>
      <xdr:colOff>1388025</xdr:colOff>
      <xdr:row>2</xdr:row>
      <xdr:rowOff>133350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43225" y="38100"/>
          <a:ext cx="730800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457200</xdr:colOff>
      <xdr:row>5</xdr:row>
      <xdr:rowOff>209550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0</xdr:row>
      <xdr:rowOff>9525</xdr:rowOff>
    </xdr:from>
    <xdr:to>
      <xdr:col>8</xdr:col>
      <xdr:colOff>30300</xdr:colOff>
      <xdr:row>2</xdr:row>
      <xdr:rowOff>123825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86800" y="9525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38100</xdr:rowOff>
    </xdr:from>
    <xdr:to>
      <xdr:col>0</xdr:col>
      <xdr:colOff>1388025</xdr:colOff>
      <xdr:row>2</xdr:row>
      <xdr:rowOff>133350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7225" y="38100"/>
          <a:ext cx="730800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5</xdr:row>
      <xdr:rowOff>209550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0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38100</xdr:rowOff>
    </xdr:from>
    <xdr:to>
      <xdr:col>0</xdr:col>
      <xdr:colOff>1397550</xdr:colOff>
      <xdr:row>2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0" y="3810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57150</xdr:rowOff>
    </xdr:from>
    <xdr:to>
      <xdr:col>8</xdr:col>
      <xdr:colOff>678000</xdr:colOff>
      <xdr:row>2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478125" y="57150"/>
          <a:ext cx="1440000" cy="742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5</xdr:row>
      <xdr:rowOff>209550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38100</xdr:rowOff>
    </xdr:from>
    <xdr:to>
      <xdr:col>0</xdr:col>
      <xdr:colOff>1397550</xdr:colOff>
      <xdr:row>2</xdr:row>
      <xdr:rowOff>133350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0" y="3810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0</xdr:row>
      <xdr:rowOff>57150</xdr:rowOff>
    </xdr:from>
    <xdr:to>
      <xdr:col>9</xdr:col>
      <xdr:colOff>39825</xdr:colOff>
      <xdr:row>2</xdr:row>
      <xdr:rowOff>171450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192125" y="57150"/>
          <a:ext cx="1440000" cy="7429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5</xdr:row>
      <xdr:rowOff>33337</xdr:rowOff>
    </xdr:from>
    <xdr:to>
      <xdr:col>4</xdr:col>
      <xdr:colOff>876300</xdr:colOff>
      <xdr:row>19</xdr:row>
      <xdr:rowOff>109537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26</xdr:row>
      <xdr:rowOff>0</xdr:rowOff>
    </xdr:from>
    <xdr:to>
      <xdr:col>4</xdr:col>
      <xdr:colOff>617221</xdr:colOff>
      <xdr:row>41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4</xdr:col>
      <xdr:colOff>619125</xdr:colOff>
      <xdr:row>60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65</xdr:row>
      <xdr:rowOff>0</xdr:rowOff>
    </xdr:from>
    <xdr:to>
      <xdr:col>4</xdr:col>
      <xdr:colOff>619125</xdr:colOff>
      <xdr:row>79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2586404</xdr:colOff>
      <xdr:row>85</xdr:row>
      <xdr:rowOff>178044</xdr:rowOff>
    </xdr:from>
    <xdr:to>
      <xdr:col>4</xdr:col>
      <xdr:colOff>534865</xdr:colOff>
      <xdr:row>100</xdr:row>
      <xdr:rowOff>63744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2036885</xdr:colOff>
      <xdr:row>108</xdr:row>
      <xdr:rowOff>16851</xdr:rowOff>
    </xdr:from>
    <xdr:to>
      <xdr:col>3</xdr:col>
      <xdr:colOff>2110154</xdr:colOff>
      <xdr:row>122</xdr:row>
      <xdr:rowOff>93051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2469173</xdr:colOff>
      <xdr:row>129</xdr:row>
      <xdr:rowOff>178044</xdr:rowOff>
    </xdr:from>
    <xdr:to>
      <xdr:col>4</xdr:col>
      <xdr:colOff>417634</xdr:colOff>
      <xdr:row>144</xdr:row>
      <xdr:rowOff>63744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1765789</xdr:colOff>
      <xdr:row>151</xdr:row>
      <xdr:rowOff>185370</xdr:rowOff>
    </xdr:from>
    <xdr:to>
      <xdr:col>3</xdr:col>
      <xdr:colOff>1839058</xdr:colOff>
      <xdr:row>166</xdr:row>
      <xdr:rowOff>71070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457200</xdr:colOff>
      <xdr:row>5</xdr:row>
      <xdr:rowOff>209550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5525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0</xdr:row>
      <xdr:rowOff>57149</xdr:rowOff>
    </xdr:from>
    <xdr:to>
      <xdr:col>0</xdr:col>
      <xdr:colOff>1416600</xdr:colOff>
      <xdr:row>2</xdr:row>
      <xdr:rowOff>152399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71800" y="57149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7</xdr:col>
      <xdr:colOff>622756</xdr:colOff>
      <xdr:row>3</xdr:row>
      <xdr:rowOff>28575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916150" y="114300"/>
          <a:ext cx="1440000" cy="7429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457200</xdr:colOff>
      <xdr:row>5</xdr:row>
      <xdr:rowOff>209550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0</xdr:row>
      <xdr:rowOff>57149</xdr:rowOff>
    </xdr:from>
    <xdr:to>
      <xdr:col>0</xdr:col>
      <xdr:colOff>1416600</xdr:colOff>
      <xdr:row>2</xdr:row>
      <xdr:rowOff>152399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5800" y="57149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0</xdr:row>
      <xdr:rowOff>114300</xdr:rowOff>
    </xdr:from>
    <xdr:to>
      <xdr:col>8</xdr:col>
      <xdr:colOff>87449</xdr:colOff>
      <xdr:row>3</xdr:row>
      <xdr:rowOff>28575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0150" y="114300"/>
          <a:ext cx="1440000" cy="7429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324971</xdr:colOff>
      <xdr:row>7</xdr:row>
      <xdr:rowOff>133350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4971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633132</xdr:colOff>
      <xdr:row>0</xdr:row>
      <xdr:rowOff>217395</xdr:rowOff>
    </xdr:from>
    <xdr:to>
      <xdr:col>1</xdr:col>
      <xdr:colOff>601932</xdr:colOff>
      <xdr:row>3</xdr:row>
      <xdr:rowOff>100853</xdr:rowOff>
    </xdr:to>
    <xdr:pic>
      <xdr:nvPicPr>
        <xdr:cNvPr id="4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3132" y="217395"/>
          <a:ext cx="730800" cy="712693"/>
        </a:xfrm>
        <a:prstGeom prst="rect">
          <a:avLst/>
        </a:prstGeom>
      </xdr:spPr>
    </xdr:pic>
    <xdr:clientData/>
  </xdr:twoCellAnchor>
  <xdr:twoCellAnchor editAs="oneCell">
    <xdr:from>
      <xdr:col>6</xdr:col>
      <xdr:colOff>582706</xdr:colOff>
      <xdr:row>0</xdr:row>
      <xdr:rowOff>112059</xdr:rowOff>
    </xdr:from>
    <xdr:to>
      <xdr:col>8</xdr:col>
      <xdr:colOff>374881</xdr:colOff>
      <xdr:row>3</xdr:row>
      <xdr:rowOff>100853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95030" y="112059"/>
          <a:ext cx="1439439" cy="81802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0</xdr:col>
      <xdr:colOff>421822</xdr:colOff>
      <xdr:row>8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0"/>
          <a:ext cx="412296" cy="1959429"/>
        </a:xfrm>
        <a:prstGeom prst="rect">
          <a:avLst/>
        </a:prstGeom>
      </xdr:spPr>
    </xdr:pic>
    <xdr:clientData/>
  </xdr:twoCellAnchor>
  <xdr:twoCellAnchor editAs="oneCell">
    <xdr:from>
      <xdr:col>1</xdr:col>
      <xdr:colOff>274562</xdr:colOff>
      <xdr:row>0</xdr:row>
      <xdr:rowOff>347433</xdr:rowOff>
    </xdr:from>
    <xdr:to>
      <xdr:col>1</xdr:col>
      <xdr:colOff>1052286</xdr:colOff>
      <xdr:row>4</xdr:row>
      <xdr:rowOff>135918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52979" y="347433"/>
          <a:ext cx="777724" cy="804485"/>
        </a:xfrm>
        <a:prstGeom prst="rect">
          <a:avLst/>
        </a:prstGeom>
      </xdr:spPr>
    </xdr:pic>
    <xdr:clientData/>
  </xdr:twoCellAnchor>
  <xdr:twoCellAnchor editAs="oneCell">
    <xdr:from>
      <xdr:col>12</xdr:col>
      <xdr:colOff>394607</xdr:colOff>
      <xdr:row>0</xdr:row>
      <xdr:rowOff>291192</xdr:rowOff>
    </xdr:from>
    <xdr:to>
      <xdr:col>13</xdr:col>
      <xdr:colOff>1033691</xdr:colOff>
      <xdr:row>4</xdr:row>
      <xdr:rowOff>176892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716250" y="291192"/>
          <a:ext cx="1700441" cy="91984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324971</xdr:colOff>
      <xdr:row>7</xdr:row>
      <xdr:rowOff>133350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4971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633132</xdr:colOff>
      <xdr:row>0</xdr:row>
      <xdr:rowOff>217395</xdr:rowOff>
    </xdr:from>
    <xdr:to>
      <xdr:col>1</xdr:col>
      <xdr:colOff>601932</xdr:colOff>
      <xdr:row>3</xdr:row>
      <xdr:rowOff>100853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3132" y="217395"/>
          <a:ext cx="730800" cy="712133"/>
        </a:xfrm>
        <a:prstGeom prst="rect">
          <a:avLst/>
        </a:prstGeom>
      </xdr:spPr>
    </xdr:pic>
    <xdr:clientData/>
  </xdr:twoCellAnchor>
  <xdr:twoCellAnchor editAs="oneCell">
    <xdr:from>
      <xdr:col>6</xdr:col>
      <xdr:colOff>773206</xdr:colOff>
      <xdr:row>0</xdr:row>
      <xdr:rowOff>168089</xdr:rowOff>
    </xdr:from>
    <xdr:to>
      <xdr:col>8</xdr:col>
      <xdr:colOff>150762</xdr:colOff>
      <xdr:row>3</xdr:row>
      <xdr:rowOff>156883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49235" y="168089"/>
          <a:ext cx="1439439" cy="818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598321</xdr:colOff>
      <xdr:row>0</xdr:row>
      <xdr:rowOff>76201</xdr:rowOff>
    </xdr:from>
    <xdr:to>
      <xdr:col>0</xdr:col>
      <xdr:colOff>1329121</xdr:colOff>
      <xdr:row>2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84321" y="76201"/>
          <a:ext cx="730800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447676</xdr:colOff>
      <xdr:row>5</xdr:row>
      <xdr:rowOff>211500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85999" y="0"/>
          <a:ext cx="447676" cy="146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0</xdr:row>
      <xdr:rowOff>66675</xdr:rowOff>
    </xdr:from>
    <xdr:to>
      <xdr:col>14</xdr:col>
      <xdr:colOff>695831</xdr:colOff>
      <xdr:row>2</xdr:row>
      <xdr:rowOff>180974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19975" y="66675"/>
          <a:ext cx="1438781" cy="7429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7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7675" cy="18573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38100</xdr:rowOff>
    </xdr:from>
    <xdr:to>
      <xdr:col>1</xdr:col>
      <xdr:colOff>759375</xdr:colOff>
      <xdr:row>2</xdr:row>
      <xdr:rowOff>161926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" y="38100"/>
          <a:ext cx="730800" cy="752476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0</xdr:row>
      <xdr:rowOff>104775</xdr:rowOff>
    </xdr:from>
    <xdr:to>
      <xdr:col>9</xdr:col>
      <xdr:colOff>297000</xdr:colOff>
      <xdr:row>3</xdr:row>
      <xdr:rowOff>104775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1700" y="104775"/>
          <a:ext cx="1440000" cy="8286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1</xdr:col>
      <xdr:colOff>711750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</xdr:rowOff>
    </xdr:from>
    <xdr:to>
      <xdr:col>0</xdr:col>
      <xdr:colOff>455925</xdr:colOff>
      <xdr:row>5</xdr:row>
      <xdr:rowOff>209551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"/>
          <a:ext cx="446400" cy="1466850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752477</xdr:colOff>
      <xdr:row>0</xdr:row>
      <xdr:rowOff>28575</xdr:rowOff>
    </xdr:from>
    <xdr:to>
      <xdr:col>10</xdr:col>
      <xdr:colOff>668477</xdr:colOff>
      <xdr:row>2</xdr:row>
      <xdr:rowOff>144331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96777" y="28575"/>
          <a:ext cx="1440000" cy="744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28573</xdr:rowOff>
    </xdr:from>
    <xdr:to>
      <xdr:col>0</xdr:col>
      <xdr:colOff>1245150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28573"/>
          <a:ext cx="730800" cy="723902"/>
        </a:xfrm>
        <a:prstGeom prst="rect">
          <a:avLst/>
        </a:prstGeom>
      </xdr:spPr>
    </xdr:pic>
    <xdr:clientData/>
  </xdr:twoCellAnchor>
  <xdr:twoCellAnchor editAs="oneCell">
    <xdr:from>
      <xdr:col>10</xdr:col>
      <xdr:colOff>396240</xdr:colOff>
      <xdr:row>0</xdr:row>
      <xdr:rowOff>154305</xdr:rowOff>
    </xdr:from>
    <xdr:to>
      <xdr:col>11</xdr:col>
      <xdr:colOff>32205</xdr:colOff>
      <xdr:row>3</xdr:row>
      <xdr:rowOff>70393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54240" y="154305"/>
          <a:ext cx="1487625" cy="73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0</xdr:row>
      <xdr:rowOff>0</xdr:rowOff>
    </xdr:from>
    <xdr:to>
      <xdr:col>0</xdr:col>
      <xdr:colOff>447676</xdr:colOff>
      <xdr:row>5</xdr:row>
      <xdr:rowOff>163875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86002" y="0"/>
          <a:ext cx="447674" cy="1468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28573</xdr:rowOff>
    </xdr:from>
    <xdr:to>
      <xdr:col>0</xdr:col>
      <xdr:colOff>1245150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28573"/>
          <a:ext cx="730800" cy="720092"/>
        </a:xfrm>
        <a:prstGeom prst="rect">
          <a:avLst/>
        </a:prstGeom>
      </xdr:spPr>
    </xdr:pic>
    <xdr:clientData/>
  </xdr:twoCellAnchor>
  <xdr:twoCellAnchor editAs="oneCell">
    <xdr:from>
      <xdr:col>10</xdr:col>
      <xdr:colOff>396240</xdr:colOff>
      <xdr:row>0</xdr:row>
      <xdr:rowOff>154305</xdr:rowOff>
    </xdr:from>
    <xdr:to>
      <xdr:col>10</xdr:col>
      <xdr:colOff>1864815</xdr:colOff>
      <xdr:row>3</xdr:row>
      <xdr:rowOff>70393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51420" y="154305"/>
          <a:ext cx="1487625" cy="73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5</xdr:row>
      <xdr:rowOff>163875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314325" cy="146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598321</xdr:colOff>
      <xdr:row>0</xdr:row>
      <xdr:rowOff>76201</xdr:rowOff>
    </xdr:from>
    <xdr:to>
      <xdr:col>0</xdr:col>
      <xdr:colOff>1329121</xdr:colOff>
      <xdr:row>2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8321" y="76201"/>
          <a:ext cx="730800" cy="720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447676</xdr:colOff>
      <xdr:row>5</xdr:row>
      <xdr:rowOff>211500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7676" cy="146118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611787</xdr:colOff>
      <xdr:row>2</xdr:row>
      <xdr:rowOff>114299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6180" y="0"/>
          <a:ext cx="1465227" cy="7391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533399</xdr:colOff>
      <xdr:row>0</xdr:row>
      <xdr:rowOff>76200</xdr:rowOff>
    </xdr:from>
    <xdr:ext cx="730800" cy="7239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399" y="76200"/>
          <a:ext cx="730800" cy="72390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1440184" cy="742952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48875" y="95250"/>
          <a:ext cx="1440184" cy="74295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446400" cy="1466849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0"/>
          <a:ext cx="446400" cy="146684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723899</xdr:colOff>
      <xdr:row>0</xdr:row>
      <xdr:rowOff>38100</xdr:rowOff>
    </xdr:from>
    <xdr:to>
      <xdr:col>1</xdr:col>
      <xdr:colOff>692699</xdr:colOff>
      <xdr:row>2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899" y="3810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752475</xdr:colOff>
      <xdr:row>0</xdr:row>
      <xdr:rowOff>0</xdr:rowOff>
    </xdr:from>
    <xdr:to>
      <xdr:col>13</xdr:col>
      <xdr:colOff>678184</xdr:colOff>
      <xdr:row>2</xdr:row>
      <xdr:rowOff>114302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3300" y="0"/>
          <a:ext cx="1440184" cy="74295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1</xdr:rowOff>
    </xdr:from>
    <xdr:to>
      <xdr:col>0</xdr:col>
      <xdr:colOff>474975</xdr:colOff>
      <xdr:row>5</xdr:row>
      <xdr:rowOff>200025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1"/>
          <a:ext cx="446400" cy="14668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714367</xdr:colOff>
      <xdr:row>0</xdr:row>
      <xdr:rowOff>47626</xdr:rowOff>
    </xdr:from>
    <xdr:to>
      <xdr:col>1</xdr:col>
      <xdr:colOff>1445167</xdr:colOff>
      <xdr:row>2</xdr:row>
      <xdr:rowOff>142876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0367" y="47626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95250</xdr:rowOff>
    </xdr:from>
    <xdr:to>
      <xdr:col>8</xdr:col>
      <xdr:colOff>668475</xdr:colOff>
      <xdr:row>3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001750" y="95250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447675</xdr:colOff>
      <xdr:row>5</xdr:row>
      <xdr:rowOff>201975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86000" y="0"/>
          <a:ext cx="447675" cy="1468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714367</xdr:colOff>
      <xdr:row>0</xdr:row>
      <xdr:rowOff>47626</xdr:rowOff>
    </xdr:from>
    <xdr:to>
      <xdr:col>1</xdr:col>
      <xdr:colOff>1445167</xdr:colOff>
      <xdr:row>2</xdr:row>
      <xdr:rowOff>142876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67" y="47626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0</xdr:row>
      <xdr:rowOff>95250</xdr:rowOff>
    </xdr:from>
    <xdr:to>
      <xdr:col>9</xdr:col>
      <xdr:colOff>58875</xdr:colOff>
      <xdr:row>3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35050" y="95250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447675</xdr:colOff>
      <xdr:row>5</xdr:row>
      <xdr:rowOff>211500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0"/>
          <a:ext cx="447675" cy="146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Normal="100" workbookViewId="0">
      <selection activeCell="I27" sqref="I27"/>
    </sheetView>
  </sheetViews>
  <sheetFormatPr baseColWidth="10" defaultColWidth="11.42578125" defaultRowHeight="15"/>
  <cols>
    <col min="1" max="1" width="11.42578125" style="19"/>
    <col min="2" max="2" width="15.28515625" style="67" bestFit="1" customWidth="1"/>
    <col min="3" max="3" width="28.7109375" style="67" customWidth="1"/>
    <col min="4" max="4" width="12.7109375" style="67" customWidth="1"/>
    <col min="5" max="5" width="12.42578125" style="67" customWidth="1"/>
    <col min="6" max="6" width="13.140625" style="19" bestFit="1" customWidth="1"/>
    <col min="7" max="16384" width="11.42578125" style="19"/>
  </cols>
  <sheetData>
    <row r="1" spans="1:13" ht="28.5">
      <c r="A1" s="245" t="s">
        <v>0</v>
      </c>
      <c r="B1" s="246"/>
      <c r="C1" s="246"/>
      <c r="D1" s="246"/>
      <c r="E1" s="246"/>
      <c r="F1" s="246"/>
    </row>
    <row r="2" spans="1:13" ht="21">
      <c r="A2" s="247" t="s">
        <v>1</v>
      </c>
      <c r="B2" s="248"/>
      <c r="C2" s="248"/>
      <c r="D2" s="248"/>
      <c r="E2" s="248"/>
      <c r="F2" s="248"/>
    </row>
    <row r="3" spans="1:13">
      <c r="A3" s="249" t="s">
        <v>10</v>
      </c>
      <c r="B3" s="250"/>
      <c r="C3" s="250"/>
      <c r="D3" s="250"/>
      <c r="E3" s="250"/>
      <c r="F3" s="250"/>
    </row>
    <row r="4" spans="1:13">
      <c r="B4" s="19"/>
      <c r="C4" s="19"/>
      <c r="D4" s="19"/>
      <c r="E4" s="19"/>
    </row>
    <row r="5" spans="1:13" ht="18.75">
      <c r="A5" s="251" t="s">
        <v>277</v>
      </c>
      <c r="B5" s="251"/>
      <c r="C5" s="251"/>
      <c r="D5" s="251"/>
      <c r="E5" s="251"/>
      <c r="F5" s="251"/>
    </row>
    <row r="6" spans="1:13" ht="15.75" thickBot="1"/>
    <row r="7" spans="1:13" ht="15.75" customHeight="1">
      <c r="B7" s="253" t="s">
        <v>138</v>
      </c>
      <c r="C7" s="254"/>
      <c r="D7" s="257" t="s">
        <v>223</v>
      </c>
      <c r="E7" s="257" t="s">
        <v>224</v>
      </c>
      <c r="G7" s="102"/>
    </row>
    <row r="8" spans="1:13" ht="15.75" thickBot="1">
      <c r="B8" s="255"/>
      <c r="C8" s="256"/>
      <c r="D8" s="258"/>
      <c r="E8" s="258"/>
    </row>
    <row r="9" spans="1:13">
      <c r="B9" s="259" t="s">
        <v>137</v>
      </c>
      <c r="C9" s="161" t="s">
        <v>136</v>
      </c>
      <c r="D9" s="146">
        <v>169.25637313224067</v>
      </c>
      <c r="E9" s="147">
        <v>170.70030923360324</v>
      </c>
      <c r="G9" s="261"/>
      <c r="H9" s="261"/>
      <c r="I9" s="261"/>
      <c r="J9" s="261"/>
      <c r="K9" s="261"/>
      <c r="L9" s="261"/>
      <c r="M9" s="261"/>
    </row>
    <row r="10" spans="1:13" ht="15.75" thickBot="1">
      <c r="B10" s="260"/>
      <c r="C10" s="162" t="s">
        <v>135</v>
      </c>
      <c r="D10" s="148">
        <v>5</v>
      </c>
      <c r="E10" s="149">
        <v>6</v>
      </c>
      <c r="G10" s="261"/>
      <c r="H10" s="261"/>
      <c r="I10" s="261"/>
      <c r="J10" s="261"/>
      <c r="K10" s="261"/>
      <c r="L10" s="261"/>
      <c r="M10" s="261"/>
    </row>
    <row r="11" spans="1:13" ht="12.6" customHeight="1" thickBot="1">
      <c r="B11" s="150"/>
      <c r="C11" s="163"/>
      <c r="D11" s="151"/>
      <c r="E11" s="152"/>
    </row>
    <row r="12" spans="1:13">
      <c r="B12" s="259" t="s">
        <v>134</v>
      </c>
      <c r="C12" s="161" t="s">
        <v>133</v>
      </c>
      <c r="D12" s="146">
        <v>3867477.3514354648</v>
      </c>
      <c r="E12" s="147">
        <v>3954408.8919281401</v>
      </c>
    </row>
    <row r="13" spans="1:13">
      <c r="B13" s="262"/>
      <c r="C13" s="164" t="s">
        <v>132</v>
      </c>
      <c r="D13" s="153">
        <v>8.6749999999999883</v>
      </c>
      <c r="E13" s="154">
        <v>9.4450000000000145</v>
      </c>
    </row>
    <row r="14" spans="1:13">
      <c r="B14" s="262"/>
      <c r="C14" s="164" t="s">
        <v>131</v>
      </c>
      <c r="D14" s="155">
        <v>77088.064314554329</v>
      </c>
      <c r="E14" s="156">
        <v>78820.817625178199</v>
      </c>
    </row>
    <row r="15" spans="1:13" ht="15.75" thickBot="1">
      <c r="B15" s="260"/>
      <c r="C15" s="162" t="s">
        <v>130</v>
      </c>
      <c r="D15" s="148">
        <v>4.4951923076923084</v>
      </c>
      <c r="E15" s="157">
        <v>3.6596647058379839</v>
      </c>
    </row>
    <row r="16" spans="1:13" ht="12.6" customHeight="1" thickBot="1">
      <c r="B16" s="150"/>
      <c r="C16" s="163"/>
      <c r="D16" s="151"/>
      <c r="E16" s="152"/>
    </row>
    <row r="17" spans="2:9">
      <c r="B17" s="259" t="s">
        <v>129</v>
      </c>
      <c r="C17" s="161" t="s">
        <v>2</v>
      </c>
      <c r="D17" s="158">
        <v>4</v>
      </c>
      <c r="E17" s="159">
        <v>4</v>
      </c>
    </row>
    <row r="18" spans="2:9">
      <c r="B18" s="262"/>
      <c r="C18" s="164" t="s">
        <v>3</v>
      </c>
      <c r="D18" s="153">
        <v>4</v>
      </c>
      <c r="E18" s="154">
        <v>4</v>
      </c>
      <c r="F18" s="73"/>
      <c r="G18" s="73"/>
      <c r="H18" s="73"/>
      <c r="I18" s="73"/>
    </row>
    <row r="19" spans="2:9">
      <c r="B19" s="262"/>
      <c r="C19" s="164" t="s">
        <v>4</v>
      </c>
      <c r="D19" s="153">
        <v>4</v>
      </c>
      <c r="E19" s="154">
        <v>3.75</v>
      </c>
      <c r="F19" s="73"/>
      <c r="G19" s="73"/>
      <c r="H19" s="73"/>
      <c r="I19" s="73"/>
    </row>
    <row r="20" spans="2:9" ht="15.75" thickBot="1">
      <c r="B20" s="260"/>
      <c r="C20" s="162" t="s">
        <v>5</v>
      </c>
      <c r="D20" s="160">
        <v>3.5</v>
      </c>
      <c r="E20" s="149">
        <v>3.25</v>
      </c>
      <c r="F20" s="73"/>
      <c r="G20" s="73"/>
      <c r="H20" s="73"/>
      <c r="I20" s="73"/>
    </row>
    <row r="21" spans="2:9" ht="12.6" customHeight="1" thickBot="1">
      <c r="B21" s="150"/>
      <c r="C21" s="163"/>
      <c r="D21" s="151"/>
      <c r="E21" s="152"/>
    </row>
    <row r="22" spans="2:9">
      <c r="B22" s="259" t="s">
        <v>128</v>
      </c>
      <c r="C22" s="161" t="s">
        <v>6</v>
      </c>
      <c r="D22" s="158">
        <v>50.169600000000003</v>
      </c>
      <c r="E22" s="159">
        <v>50.169600000000003</v>
      </c>
      <c r="F22" s="73"/>
      <c r="G22" s="73"/>
      <c r="H22" s="73"/>
      <c r="I22" s="73"/>
    </row>
    <row r="23" spans="2:9">
      <c r="B23" s="262"/>
      <c r="C23" s="164" t="s">
        <v>7</v>
      </c>
      <c r="D23" s="153">
        <v>4.0000000000000036</v>
      </c>
      <c r="E23" s="154">
        <v>5.4714402842306802</v>
      </c>
      <c r="F23" s="73"/>
      <c r="G23" s="73"/>
      <c r="H23" s="73"/>
      <c r="I23" s="73"/>
    </row>
    <row r="24" spans="2:9">
      <c r="B24" s="262"/>
      <c r="C24" s="164" t="s">
        <v>8</v>
      </c>
      <c r="D24" s="153">
        <v>51.053600000000003</v>
      </c>
      <c r="E24" s="154">
        <v>51.053600000000003</v>
      </c>
      <c r="F24" s="73"/>
      <c r="G24" s="73"/>
      <c r="H24" s="73"/>
      <c r="I24" s="73"/>
    </row>
    <row r="25" spans="2:9" ht="15.75" thickBot="1">
      <c r="B25" s="260"/>
      <c r="C25" s="162" t="s">
        <v>7</v>
      </c>
      <c r="D25" s="160">
        <v>4.0000000000000036</v>
      </c>
      <c r="E25" s="149">
        <v>5.8077191702607056</v>
      </c>
      <c r="F25" s="73"/>
      <c r="G25" s="73"/>
      <c r="H25" s="73"/>
      <c r="I25" s="73"/>
    </row>
    <row r="26" spans="2:9" ht="12.6" customHeight="1" thickBot="1">
      <c r="B26" s="150"/>
      <c r="C26" s="163"/>
      <c r="D26" s="151"/>
      <c r="E26" s="152"/>
    </row>
    <row r="27" spans="2:9">
      <c r="B27" s="263" t="s">
        <v>127</v>
      </c>
      <c r="C27" s="161" t="s">
        <v>126</v>
      </c>
      <c r="D27" s="158">
        <v>48.627499999999998</v>
      </c>
      <c r="E27" s="159">
        <v>65.464916666666667</v>
      </c>
      <c r="F27" s="101"/>
      <c r="G27" s="73"/>
      <c r="H27" s="73"/>
      <c r="I27" s="73"/>
    </row>
    <row r="28" spans="2:9">
      <c r="B28" s="264"/>
      <c r="C28" s="164" t="s">
        <v>125</v>
      </c>
      <c r="D28" s="153">
        <v>49.153540772619806</v>
      </c>
      <c r="E28" s="154">
        <v>63.905250000000002</v>
      </c>
      <c r="F28" s="111"/>
      <c r="G28" s="73"/>
      <c r="H28" s="73"/>
      <c r="I28" s="73"/>
    </row>
    <row r="29" spans="2:9">
      <c r="B29" s="264"/>
      <c r="C29" s="164" t="s">
        <v>124</v>
      </c>
      <c r="D29" s="153">
        <v>1275</v>
      </c>
      <c r="E29" s="154">
        <v>1279.4822666666666</v>
      </c>
      <c r="F29" s="111"/>
      <c r="G29" s="73"/>
      <c r="H29" s="73"/>
      <c r="I29" s="73"/>
    </row>
    <row r="30" spans="2:9">
      <c r="B30" s="264"/>
      <c r="C30" s="164" t="s">
        <v>123</v>
      </c>
      <c r="D30" s="153">
        <v>11033.556074157201</v>
      </c>
      <c r="E30" s="154">
        <v>13633.154999999999</v>
      </c>
      <c r="F30" s="111"/>
      <c r="G30" s="73"/>
      <c r="H30" s="73"/>
      <c r="I30" s="73"/>
    </row>
    <row r="31" spans="2:9">
      <c r="B31" s="264"/>
      <c r="C31" s="164" t="s">
        <v>9</v>
      </c>
      <c r="D31" s="153">
        <v>2.4</v>
      </c>
      <c r="E31" s="154">
        <v>2.9</v>
      </c>
      <c r="F31" s="101"/>
      <c r="G31" s="73"/>
      <c r="H31" s="73"/>
      <c r="I31" s="73"/>
    </row>
    <row r="32" spans="2:9">
      <c r="B32" s="264"/>
      <c r="C32" s="164" t="s">
        <v>122</v>
      </c>
      <c r="D32" s="153">
        <v>2</v>
      </c>
      <c r="E32" s="154">
        <v>2.5</v>
      </c>
      <c r="F32" s="101"/>
      <c r="G32" s="73"/>
      <c r="H32" s="73"/>
      <c r="I32" s="73"/>
    </row>
    <row r="33" spans="2:9" ht="15.75" thickBot="1">
      <c r="B33" s="265"/>
      <c r="C33" s="162" t="s">
        <v>121</v>
      </c>
      <c r="D33" s="160">
        <v>2.2999999999999998</v>
      </c>
      <c r="E33" s="149">
        <v>2.7</v>
      </c>
      <c r="F33" s="101"/>
      <c r="G33" s="73"/>
      <c r="H33" s="73"/>
      <c r="I33" s="73"/>
    </row>
    <row r="34" spans="2:9" ht="24.75" customHeight="1">
      <c r="B34" s="252" t="s">
        <v>225</v>
      </c>
      <c r="C34" s="252"/>
      <c r="D34" s="252"/>
      <c r="E34" s="252"/>
      <c r="F34" s="73"/>
      <c r="G34" s="73"/>
      <c r="H34" s="73"/>
      <c r="I34" s="73"/>
    </row>
  </sheetData>
  <mergeCells count="14">
    <mergeCell ref="G9:M10"/>
    <mergeCell ref="B12:B15"/>
    <mergeCell ref="B17:B20"/>
    <mergeCell ref="B22:B25"/>
    <mergeCell ref="B27:B33"/>
    <mergeCell ref="A1:F1"/>
    <mergeCell ref="A2:F2"/>
    <mergeCell ref="A3:F3"/>
    <mergeCell ref="A5:F5"/>
    <mergeCell ref="B34:E34"/>
    <mergeCell ref="B7:C8"/>
    <mergeCell ref="D7:D8"/>
    <mergeCell ref="E7:E8"/>
    <mergeCell ref="B9:B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showGridLines="0" workbookViewId="0">
      <selection activeCell="J23" sqref="J23"/>
    </sheetView>
  </sheetViews>
  <sheetFormatPr baseColWidth="10" defaultColWidth="11.42578125" defaultRowHeight="15"/>
  <cols>
    <col min="1" max="1" width="11.42578125" style="19" customWidth="1"/>
    <col min="2" max="2" width="69.140625" style="19" customWidth="1"/>
    <col min="3" max="3" width="12" style="19" customWidth="1"/>
    <col min="4" max="4" width="16.5703125" style="19" customWidth="1"/>
    <col min="5" max="5" width="12.42578125" style="19" customWidth="1"/>
    <col min="6" max="6" width="12.28515625" style="19" customWidth="1"/>
    <col min="7" max="7" width="11.85546875" style="19" customWidth="1"/>
    <col min="8" max="8" width="12.140625" style="19" customWidth="1"/>
    <col min="9" max="16384" width="11.42578125" style="19"/>
  </cols>
  <sheetData>
    <row r="1" spans="2:18" ht="28.5" customHeight="1">
      <c r="B1" s="245" t="s">
        <v>0</v>
      </c>
      <c r="C1" s="246"/>
      <c r="D1" s="246"/>
      <c r="E1" s="246"/>
      <c r="F1" s="246"/>
      <c r="G1" s="246"/>
      <c r="H1" s="246"/>
    </row>
    <row r="2" spans="2:18" ht="21">
      <c r="B2" s="247" t="s">
        <v>1</v>
      </c>
      <c r="C2" s="248"/>
      <c r="D2" s="248"/>
      <c r="E2" s="248"/>
      <c r="F2" s="248"/>
      <c r="G2" s="248"/>
      <c r="H2" s="248"/>
    </row>
    <row r="3" spans="2:18" ht="15.75" customHeight="1">
      <c r="B3" s="280" t="s">
        <v>10</v>
      </c>
      <c r="C3" s="281"/>
      <c r="D3" s="281"/>
      <c r="E3" s="281"/>
      <c r="F3" s="281"/>
      <c r="G3" s="281"/>
      <c r="H3" s="281"/>
      <c r="K3" s="102"/>
    </row>
    <row r="4" spans="2:18" ht="14.45" customHeight="1">
      <c r="K4" s="282"/>
      <c r="L4" s="282"/>
      <c r="M4" s="282"/>
      <c r="N4" s="282"/>
      <c r="O4" s="282"/>
      <c r="P4" s="282"/>
      <c r="Q4" s="282"/>
      <c r="R4" s="282"/>
    </row>
    <row r="5" spans="2:18" ht="18.75">
      <c r="B5" s="317" t="s">
        <v>182</v>
      </c>
      <c r="C5" s="317"/>
      <c r="D5" s="317"/>
      <c r="E5" s="317"/>
      <c r="F5" s="317"/>
      <c r="G5" s="317"/>
      <c r="H5" s="317"/>
      <c r="K5" s="282"/>
      <c r="L5" s="282"/>
      <c r="M5" s="282"/>
      <c r="N5" s="282"/>
      <c r="O5" s="282"/>
      <c r="P5" s="282"/>
      <c r="Q5" s="282"/>
      <c r="R5" s="282"/>
    </row>
    <row r="6" spans="2:18" ht="18.75">
      <c r="B6" s="317" t="s">
        <v>59</v>
      </c>
      <c r="C6" s="317"/>
      <c r="D6" s="317"/>
      <c r="E6" s="317"/>
      <c r="F6" s="317"/>
      <c r="G6" s="317"/>
      <c r="H6" s="317"/>
      <c r="K6" s="282"/>
      <c r="L6" s="282"/>
      <c r="M6" s="282"/>
      <c r="N6" s="282"/>
      <c r="O6" s="282"/>
      <c r="P6" s="282"/>
      <c r="Q6" s="282"/>
      <c r="R6" s="282"/>
    </row>
    <row r="7" spans="2:18" ht="18.75">
      <c r="B7" s="317" t="s">
        <v>196</v>
      </c>
      <c r="C7" s="317"/>
      <c r="D7" s="317"/>
      <c r="E7" s="317"/>
      <c r="F7" s="317"/>
      <c r="G7" s="317"/>
      <c r="H7" s="317"/>
      <c r="K7" s="282"/>
      <c r="L7" s="282"/>
      <c r="M7" s="282"/>
      <c r="N7" s="282"/>
      <c r="O7" s="282"/>
      <c r="P7" s="282"/>
      <c r="Q7" s="282"/>
      <c r="R7" s="282"/>
    </row>
    <row r="8" spans="2:18" ht="16.5" customHeight="1">
      <c r="B8" s="318" t="s">
        <v>12</v>
      </c>
      <c r="C8" s="318"/>
      <c r="D8" s="318"/>
      <c r="E8" s="318"/>
      <c r="F8" s="318"/>
      <c r="G8" s="318"/>
      <c r="H8" s="318"/>
      <c r="K8" s="282"/>
      <c r="L8" s="282"/>
      <c r="M8" s="282"/>
      <c r="N8" s="282"/>
      <c r="O8" s="282"/>
      <c r="P8" s="282"/>
      <c r="Q8" s="282"/>
      <c r="R8" s="282"/>
    </row>
    <row r="9" spans="2:18" ht="57">
      <c r="B9" s="199"/>
      <c r="C9" s="199" t="s">
        <v>13</v>
      </c>
      <c r="D9" s="199" t="s">
        <v>141</v>
      </c>
      <c r="E9" s="199" t="s">
        <v>157</v>
      </c>
      <c r="F9" s="199" t="s">
        <v>143</v>
      </c>
      <c r="G9" s="199" t="s">
        <v>14</v>
      </c>
      <c r="H9" s="199" t="s">
        <v>176</v>
      </c>
    </row>
    <row r="10" spans="2:18">
      <c r="B10" s="192" t="s">
        <v>17</v>
      </c>
      <c r="C10" s="193">
        <f t="shared" ref="C10:H10" si="0">SUM(C11:C17)</f>
        <v>601241821918</v>
      </c>
      <c r="D10" s="193">
        <f t="shared" si="0"/>
        <v>25250618274</v>
      </c>
      <c r="E10" s="193">
        <f t="shared" si="0"/>
        <v>22432097315</v>
      </c>
      <c r="F10" s="193">
        <f t="shared" si="0"/>
        <v>7260640927</v>
      </c>
      <c r="G10" s="193">
        <f t="shared" si="0"/>
        <v>109670531953</v>
      </c>
      <c r="H10" s="193">
        <f t="shared" si="0"/>
        <v>765855710387</v>
      </c>
    </row>
    <row r="11" spans="2:18">
      <c r="B11" s="194" t="s">
        <v>60</v>
      </c>
      <c r="C11" s="195">
        <v>562514396361</v>
      </c>
      <c r="D11" s="195">
        <v>1853960713</v>
      </c>
      <c r="E11" s="195"/>
      <c r="F11" s="195">
        <v>3153156177</v>
      </c>
      <c r="G11" s="195">
        <v>0</v>
      </c>
      <c r="H11" s="195">
        <f t="shared" ref="H11:H17" si="1">+C11+D11+E11+F11+G11</f>
        <v>567521513251</v>
      </c>
    </row>
    <row r="12" spans="2:18">
      <c r="B12" s="194" t="s">
        <v>61</v>
      </c>
      <c r="C12" s="195">
        <v>2443000000</v>
      </c>
      <c r="D12" s="195">
        <v>0</v>
      </c>
      <c r="E12" s="195">
        <v>1014287539</v>
      </c>
      <c r="F12" s="195">
        <v>3719</v>
      </c>
      <c r="G12" s="195">
        <v>0</v>
      </c>
      <c r="H12" s="195">
        <f t="shared" si="1"/>
        <v>3457291258</v>
      </c>
    </row>
    <row r="13" spans="2:18">
      <c r="B13" s="194" t="s">
        <v>62</v>
      </c>
      <c r="C13" s="195">
        <v>22517459166</v>
      </c>
      <c r="D13" s="196">
        <v>19742576122</v>
      </c>
      <c r="E13" s="195">
        <v>17442796611</v>
      </c>
      <c r="F13" s="195">
        <v>2506281061</v>
      </c>
      <c r="G13" s="195">
        <v>106149277343</v>
      </c>
      <c r="H13" s="195">
        <f t="shared" si="1"/>
        <v>168358390303</v>
      </c>
    </row>
    <row r="14" spans="2:18">
      <c r="B14" s="194" t="s">
        <v>63</v>
      </c>
      <c r="C14" s="195">
        <v>13551314323</v>
      </c>
      <c r="D14" s="195">
        <v>1485993223</v>
      </c>
      <c r="E14" s="195">
        <v>3958562557</v>
      </c>
      <c r="F14" s="195">
        <v>227498297</v>
      </c>
      <c r="G14" s="195">
        <v>1150576231</v>
      </c>
      <c r="H14" s="195">
        <f t="shared" si="1"/>
        <v>20373944631</v>
      </c>
    </row>
    <row r="15" spans="2:18">
      <c r="B15" s="194" t="s">
        <v>120</v>
      </c>
      <c r="C15" s="195">
        <v>2578046</v>
      </c>
      <c r="D15" s="196">
        <v>1349312374</v>
      </c>
      <c r="E15" s="195">
        <v>0</v>
      </c>
      <c r="F15" s="195">
        <v>1300957807</v>
      </c>
      <c r="G15" s="195">
        <v>1561508108</v>
      </c>
      <c r="H15" s="195">
        <f t="shared" si="1"/>
        <v>4214356335</v>
      </c>
    </row>
    <row r="16" spans="2:18">
      <c r="B16" s="194" t="s">
        <v>64</v>
      </c>
      <c r="C16" s="195">
        <v>157572813</v>
      </c>
      <c r="D16" s="195">
        <v>25000000</v>
      </c>
      <c r="E16" s="195">
        <v>0</v>
      </c>
      <c r="F16" s="195">
        <v>70000580</v>
      </c>
      <c r="G16" s="195"/>
      <c r="H16" s="195">
        <f t="shared" si="1"/>
        <v>252573393</v>
      </c>
    </row>
    <row r="17" spans="2:8">
      <c r="B17" s="194" t="s">
        <v>65</v>
      </c>
      <c r="C17" s="195">
        <v>55501209</v>
      </c>
      <c r="D17" s="195">
        <v>793775842</v>
      </c>
      <c r="E17" s="195">
        <v>16450608</v>
      </c>
      <c r="F17" s="195">
        <v>2743286</v>
      </c>
      <c r="G17" s="195">
        <v>809170271</v>
      </c>
      <c r="H17" s="195">
        <f t="shared" si="1"/>
        <v>1677641216</v>
      </c>
    </row>
    <row r="18" spans="2:8">
      <c r="B18" s="192" t="s">
        <v>66</v>
      </c>
      <c r="C18" s="193">
        <f t="shared" ref="C18:H18" si="2">SUM(C19:C21)</f>
        <v>1645238069</v>
      </c>
      <c r="D18" s="193">
        <f t="shared" si="2"/>
        <v>0</v>
      </c>
      <c r="E18" s="193">
        <f t="shared" si="2"/>
        <v>32357600</v>
      </c>
      <c r="F18" s="193">
        <f t="shared" si="2"/>
        <v>1269638986</v>
      </c>
      <c r="G18" s="193">
        <f t="shared" si="2"/>
        <v>741146615</v>
      </c>
      <c r="H18" s="193">
        <f t="shared" si="2"/>
        <v>3688381270</v>
      </c>
    </row>
    <row r="19" spans="2:8">
      <c r="B19" s="194" t="s">
        <v>67</v>
      </c>
      <c r="C19" s="195">
        <v>0</v>
      </c>
      <c r="D19" s="195">
        <v>0</v>
      </c>
      <c r="E19" s="195">
        <v>31057600</v>
      </c>
      <c r="F19" s="195">
        <v>232451052</v>
      </c>
      <c r="G19" s="195">
        <v>240810</v>
      </c>
      <c r="H19" s="195">
        <f>+C19+D19+E19+F19+G19</f>
        <v>263749462</v>
      </c>
    </row>
    <row r="20" spans="2:8">
      <c r="B20" s="194" t="s">
        <v>68</v>
      </c>
      <c r="C20" s="195">
        <v>1645238069</v>
      </c>
      <c r="D20" s="195">
        <v>0</v>
      </c>
      <c r="E20" s="195">
        <v>0</v>
      </c>
      <c r="F20" s="195">
        <v>1032767134</v>
      </c>
      <c r="G20" s="195">
        <v>740905805</v>
      </c>
      <c r="H20" s="195">
        <f>+C20+D20+E20+F20+G20</f>
        <v>3418911008</v>
      </c>
    </row>
    <row r="21" spans="2:8" ht="15" customHeight="1">
      <c r="B21" s="194" t="s">
        <v>69</v>
      </c>
      <c r="C21" s="195">
        <v>0</v>
      </c>
      <c r="D21" s="195">
        <v>0</v>
      </c>
      <c r="E21" s="195">
        <v>1300000</v>
      </c>
      <c r="F21" s="195">
        <v>4420800</v>
      </c>
      <c r="G21" s="195">
        <v>0</v>
      </c>
      <c r="H21" s="195">
        <f>+C21+D21+E21+F21+G21</f>
        <v>5720800</v>
      </c>
    </row>
    <row r="22" spans="2:8">
      <c r="B22" s="197" t="s">
        <v>15</v>
      </c>
      <c r="C22" s="198">
        <f t="shared" ref="C22:H22" si="3">+C18+C10</f>
        <v>602887059987</v>
      </c>
      <c r="D22" s="198">
        <f t="shared" si="3"/>
        <v>25250618274</v>
      </c>
      <c r="E22" s="198">
        <f t="shared" si="3"/>
        <v>22464454915</v>
      </c>
      <c r="F22" s="198">
        <f t="shared" si="3"/>
        <v>8530279913</v>
      </c>
      <c r="G22" s="198">
        <f t="shared" si="3"/>
        <v>110411678568</v>
      </c>
      <c r="H22" s="198">
        <f t="shared" si="3"/>
        <v>769544091657</v>
      </c>
    </row>
    <row r="23" spans="2:8">
      <c r="B23" s="316" t="s">
        <v>45</v>
      </c>
      <c r="C23" s="316"/>
      <c r="D23" s="316"/>
      <c r="E23" s="316"/>
      <c r="F23" s="316"/>
      <c r="G23" s="316"/>
      <c r="H23" s="316"/>
    </row>
    <row r="32" spans="2:8">
      <c r="D32" s="66"/>
    </row>
    <row r="37" spans="5:5">
      <c r="E37" s="66"/>
    </row>
  </sheetData>
  <mergeCells count="9">
    <mergeCell ref="K4:R8"/>
    <mergeCell ref="B8:H8"/>
    <mergeCell ref="B23:H23"/>
    <mergeCell ref="B1:H1"/>
    <mergeCell ref="B2:H2"/>
    <mergeCell ref="B3:H3"/>
    <mergeCell ref="B5:H5"/>
    <mergeCell ref="B6:H6"/>
    <mergeCell ref="B7:H7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zoomScaleNormal="100" workbookViewId="0">
      <selection activeCell="M25" sqref="M25"/>
    </sheetView>
  </sheetViews>
  <sheetFormatPr baseColWidth="10" defaultColWidth="11.42578125" defaultRowHeight="15"/>
  <cols>
    <col min="1" max="1" width="61" customWidth="1"/>
    <col min="2" max="2" width="10.42578125" style="19" customWidth="1"/>
    <col min="3" max="3" width="16.28515625" style="19" customWidth="1"/>
    <col min="4" max="4" width="14.7109375" style="19" customWidth="1"/>
    <col min="5" max="5" width="10.42578125" style="19" customWidth="1"/>
    <col min="6" max="6" width="13" style="19" customWidth="1"/>
    <col min="7" max="7" width="12" customWidth="1"/>
  </cols>
  <sheetData>
    <row r="1" spans="1:16" ht="28.5" customHeight="1">
      <c r="A1" s="245" t="s">
        <v>0</v>
      </c>
      <c r="B1" s="246"/>
      <c r="C1" s="246"/>
      <c r="D1" s="246"/>
      <c r="E1" s="246"/>
      <c r="F1" s="246"/>
      <c r="G1" s="246"/>
    </row>
    <row r="2" spans="1:16" ht="21">
      <c r="A2" s="247" t="s">
        <v>1</v>
      </c>
      <c r="B2" s="248"/>
      <c r="C2" s="248"/>
      <c r="D2" s="248"/>
      <c r="E2" s="248"/>
      <c r="F2" s="248"/>
      <c r="G2" s="248"/>
    </row>
    <row r="3" spans="1:16" ht="15.75" customHeight="1">
      <c r="A3" s="280" t="s">
        <v>10</v>
      </c>
      <c r="B3" s="281"/>
      <c r="C3" s="281"/>
      <c r="D3" s="281"/>
      <c r="E3" s="281"/>
      <c r="F3" s="281"/>
      <c r="G3" s="281"/>
      <c r="J3" s="103"/>
      <c r="K3" s="104"/>
      <c r="L3" s="104"/>
      <c r="M3" s="104"/>
      <c r="N3" s="104"/>
      <c r="O3" s="104"/>
      <c r="P3" s="104"/>
    </row>
    <row r="4" spans="1:16" ht="14.45" customHeight="1">
      <c r="A4" s="19"/>
      <c r="G4" s="19"/>
      <c r="J4" s="298"/>
      <c r="K4" s="298"/>
      <c r="L4" s="298"/>
      <c r="M4" s="298"/>
      <c r="N4" s="298"/>
      <c r="O4" s="298"/>
      <c r="P4" s="298"/>
    </row>
    <row r="5" spans="1:16" ht="18.75" customHeight="1">
      <c r="A5" s="319" t="s">
        <v>183</v>
      </c>
      <c r="B5" s="319"/>
      <c r="C5" s="319"/>
      <c r="D5" s="319"/>
      <c r="E5" s="319"/>
      <c r="F5" s="319"/>
      <c r="G5" s="319"/>
      <c r="J5" s="298"/>
      <c r="K5" s="298"/>
      <c r="L5" s="298"/>
      <c r="M5" s="298"/>
      <c r="N5" s="298"/>
      <c r="O5" s="298"/>
      <c r="P5" s="298"/>
    </row>
    <row r="6" spans="1:16" ht="18.75">
      <c r="A6" s="300" t="s">
        <v>70</v>
      </c>
      <c r="B6" s="300"/>
      <c r="C6" s="300"/>
      <c r="D6" s="300"/>
      <c r="E6" s="300"/>
      <c r="F6" s="300"/>
      <c r="G6" s="300"/>
      <c r="J6" s="298"/>
      <c r="K6" s="298"/>
      <c r="L6" s="298"/>
      <c r="M6" s="298"/>
      <c r="N6" s="298"/>
      <c r="O6" s="298"/>
      <c r="P6" s="298"/>
    </row>
    <row r="7" spans="1:16" s="16" customFormat="1" ht="18.75">
      <c r="A7" s="300" t="s">
        <v>196</v>
      </c>
      <c r="B7" s="300"/>
      <c r="C7" s="300"/>
      <c r="D7" s="300"/>
      <c r="E7" s="300"/>
      <c r="F7" s="300"/>
      <c r="G7" s="300"/>
    </row>
    <row r="8" spans="1:16" ht="15.75" customHeight="1">
      <c r="A8" s="303" t="s">
        <v>12</v>
      </c>
      <c r="B8" s="303"/>
      <c r="C8" s="303"/>
      <c r="D8" s="303"/>
      <c r="E8" s="303"/>
      <c r="F8" s="303"/>
      <c r="G8" s="303"/>
    </row>
    <row r="9" spans="1:16" ht="57">
      <c r="A9" s="199"/>
      <c r="B9" s="199" t="s">
        <v>13</v>
      </c>
      <c r="C9" s="199" t="s">
        <v>141</v>
      </c>
      <c r="D9" s="199" t="s">
        <v>157</v>
      </c>
      <c r="E9" s="199" t="s">
        <v>41</v>
      </c>
      <c r="F9" s="199" t="s">
        <v>14</v>
      </c>
      <c r="G9" s="199" t="s">
        <v>43</v>
      </c>
    </row>
    <row r="10" spans="1:16">
      <c r="A10" s="200" t="s">
        <v>20</v>
      </c>
      <c r="B10" s="201">
        <f t="shared" ref="B10:G10" si="0">SUM(B11:B17)</f>
        <v>480503953969.43616</v>
      </c>
      <c r="C10" s="201">
        <f t="shared" si="0"/>
        <v>50342708276.339996</v>
      </c>
      <c r="D10" s="201">
        <f t="shared" si="0"/>
        <v>10944983831.259996</v>
      </c>
      <c r="E10" s="201">
        <f t="shared" si="0"/>
        <v>11481318510</v>
      </c>
      <c r="F10" s="201">
        <f t="shared" si="0"/>
        <v>49771406328.999969</v>
      </c>
      <c r="G10" s="201">
        <f t="shared" si="0"/>
        <v>603044370916.03613</v>
      </c>
    </row>
    <row r="11" spans="1:16">
      <c r="A11" s="202" t="s">
        <v>71</v>
      </c>
      <c r="B11" s="203">
        <v>0</v>
      </c>
      <c r="C11" s="203">
        <v>0</v>
      </c>
      <c r="D11" s="203">
        <v>0</v>
      </c>
      <c r="E11" s="203">
        <v>19289026</v>
      </c>
      <c r="F11" s="203">
        <v>32965564727.35997</v>
      </c>
      <c r="G11" s="204">
        <f t="shared" ref="G11:G17" si="1">+B11+C11+D11+E11+F11</f>
        <v>32984853753.35997</v>
      </c>
      <c r="H11" s="83"/>
    </row>
    <row r="12" spans="1:16">
      <c r="A12" s="202" t="s">
        <v>72</v>
      </c>
      <c r="B12" s="203">
        <v>256801938027.21616</v>
      </c>
      <c r="C12" s="203">
        <v>49928431570.729988</v>
      </c>
      <c r="D12" s="203">
        <v>1185014445.8799984</v>
      </c>
      <c r="E12" s="203">
        <v>10506748515</v>
      </c>
      <c r="F12" s="203">
        <v>8433686</v>
      </c>
      <c r="G12" s="204">
        <f t="shared" si="1"/>
        <v>318430566244.82617</v>
      </c>
      <c r="H12" s="83"/>
    </row>
    <row r="13" spans="1:16" s="99" customFormat="1">
      <c r="A13" s="202" t="s">
        <v>73</v>
      </c>
      <c r="B13" s="203">
        <v>35909962483.160004</v>
      </c>
      <c r="C13" s="203">
        <v>0</v>
      </c>
      <c r="D13" s="203">
        <v>15190622</v>
      </c>
      <c r="E13" s="203">
        <v>73452386</v>
      </c>
      <c r="F13" s="203">
        <v>70337518.189999998</v>
      </c>
      <c r="G13" s="204">
        <f t="shared" si="1"/>
        <v>36068943009.350006</v>
      </c>
      <c r="H13" s="83"/>
    </row>
    <row r="14" spans="1:16">
      <c r="A14" s="202" t="s">
        <v>21</v>
      </c>
      <c r="B14" s="203">
        <v>122512215773.66002</v>
      </c>
      <c r="C14" s="203">
        <v>338276.90999999992</v>
      </c>
      <c r="D14" s="203">
        <v>0</v>
      </c>
      <c r="E14" s="203">
        <v>132467106</v>
      </c>
      <c r="F14" s="203">
        <v>4772883273.5100002</v>
      </c>
      <c r="G14" s="204">
        <f t="shared" si="1"/>
        <v>127417904430.08002</v>
      </c>
      <c r="H14" s="83"/>
    </row>
    <row r="15" spans="1:16" s="19" customFormat="1">
      <c r="A15" s="202" t="s">
        <v>139</v>
      </c>
      <c r="B15" s="203">
        <v>0</v>
      </c>
      <c r="C15" s="203">
        <v>0</v>
      </c>
      <c r="D15" s="203">
        <v>0</v>
      </c>
      <c r="E15" s="203">
        <v>61990</v>
      </c>
      <c r="F15" s="203">
        <v>0</v>
      </c>
      <c r="G15" s="204">
        <f t="shared" si="1"/>
        <v>61990</v>
      </c>
      <c r="H15" s="83"/>
    </row>
    <row r="16" spans="1:16">
      <c r="A16" s="202" t="s">
        <v>74</v>
      </c>
      <c r="B16" s="203">
        <v>65118575530.899948</v>
      </c>
      <c r="C16" s="203">
        <v>369541750.07999998</v>
      </c>
      <c r="D16" s="203">
        <v>9744778763.3799973</v>
      </c>
      <c r="E16" s="203">
        <v>741598700</v>
      </c>
      <c r="F16" s="203">
        <v>11954187123.940001</v>
      </c>
      <c r="G16" s="204">
        <f t="shared" si="1"/>
        <v>87928681868.299957</v>
      </c>
      <c r="H16" s="83"/>
    </row>
    <row r="17" spans="1:8">
      <c r="A17" s="202" t="s">
        <v>75</v>
      </c>
      <c r="B17" s="203">
        <v>161262154.50000009</v>
      </c>
      <c r="C17" s="203">
        <v>44396678.619999997</v>
      </c>
      <c r="D17" s="203">
        <v>0</v>
      </c>
      <c r="E17" s="203">
        <v>7700787</v>
      </c>
      <c r="F17" s="203">
        <v>0</v>
      </c>
      <c r="G17" s="204">
        <f t="shared" si="1"/>
        <v>213359620.12000009</v>
      </c>
      <c r="H17" s="83"/>
    </row>
    <row r="18" spans="1:8">
      <c r="A18" s="200" t="s">
        <v>22</v>
      </c>
      <c r="B18" s="201">
        <f t="shared" ref="B18:G18" si="2">SUM(B19:B25)</f>
        <v>64572021388.970146</v>
      </c>
      <c r="C18" s="201">
        <f t="shared" si="2"/>
        <v>4116487459.3699999</v>
      </c>
      <c r="D18" s="201">
        <f t="shared" si="2"/>
        <v>80959967.699999988</v>
      </c>
      <c r="E18" s="201">
        <f t="shared" si="2"/>
        <v>4775440187</v>
      </c>
      <c r="F18" s="201">
        <f t="shared" si="2"/>
        <v>68928952964.610016</v>
      </c>
      <c r="G18" s="201">
        <f t="shared" si="2"/>
        <v>142473861967.65015</v>
      </c>
    </row>
    <row r="19" spans="1:8">
      <c r="A19" s="202" t="s">
        <v>76</v>
      </c>
      <c r="B19" s="204">
        <v>23818578585.420048</v>
      </c>
      <c r="C19" s="204">
        <v>2620607271.6100006</v>
      </c>
      <c r="D19" s="204">
        <v>0</v>
      </c>
      <c r="E19" s="204">
        <v>3828073658</v>
      </c>
      <c r="F19" s="204">
        <v>54570405972.610016</v>
      </c>
      <c r="G19" s="204">
        <f>+B19+C19+D19+E19+F19</f>
        <v>84837665487.64006</v>
      </c>
    </row>
    <row r="20" spans="1:8">
      <c r="A20" s="202" t="s">
        <v>77</v>
      </c>
      <c r="B20" s="204">
        <v>33464427777.790066</v>
      </c>
      <c r="C20" s="204">
        <v>1440344362.1799996</v>
      </c>
      <c r="D20" s="204">
        <v>66122234.919999994</v>
      </c>
      <c r="E20" s="204">
        <v>890029961</v>
      </c>
      <c r="F20" s="204">
        <v>3959880771.6099997</v>
      </c>
      <c r="G20" s="204">
        <f t="shared" ref="G20:G25" si="3">+B20+C20+D20+E20+F20</f>
        <v>39820805107.500061</v>
      </c>
    </row>
    <row r="21" spans="1:8">
      <c r="A21" s="202" t="s">
        <v>78</v>
      </c>
      <c r="B21" s="204">
        <v>9445174.0899999999</v>
      </c>
      <c r="C21" s="204">
        <v>6493216.5999999996</v>
      </c>
      <c r="D21" s="204">
        <v>0</v>
      </c>
      <c r="E21" s="204">
        <v>29630</v>
      </c>
      <c r="F21" s="204">
        <v>3231800</v>
      </c>
      <c r="G21" s="204">
        <f t="shared" si="3"/>
        <v>19199820.689999998</v>
      </c>
    </row>
    <row r="22" spans="1:8">
      <c r="A22" s="202" t="s">
        <v>79</v>
      </c>
      <c r="B22" s="204">
        <v>2049381358.0700026</v>
      </c>
      <c r="C22" s="204">
        <v>49042608.979999997</v>
      </c>
      <c r="D22" s="204">
        <v>14837732.779999999</v>
      </c>
      <c r="E22" s="204">
        <v>17466395</v>
      </c>
      <c r="F22" s="204">
        <v>193973668.46000001</v>
      </c>
      <c r="G22" s="204">
        <f t="shared" si="3"/>
        <v>2324701763.2900023</v>
      </c>
    </row>
    <row r="23" spans="1:8">
      <c r="A23" s="202" t="s">
        <v>80</v>
      </c>
      <c r="B23" s="204">
        <v>5230188493.6000347</v>
      </c>
      <c r="C23" s="204">
        <v>0</v>
      </c>
      <c r="D23" s="204">
        <v>0</v>
      </c>
      <c r="E23" s="204">
        <v>21528388</v>
      </c>
      <c r="F23" s="204">
        <v>67029979.18</v>
      </c>
      <c r="G23" s="204">
        <f t="shared" si="3"/>
        <v>5318746860.780035</v>
      </c>
    </row>
    <row r="24" spans="1:8">
      <c r="A24" s="205" t="s">
        <v>81</v>
      </c>
      <c r="B24" s="204">
        <v>0</v>
      </c>
      <c r="C24" s="204">
        <v>0</v>
      </c>
      <c r="D24" s="204">
        <v>0</v>
      </c>
      <c r="E24" s="204">
        <v>18312155</v>
      </c>
      <c r="F24" s="204">
        <v>10134430772.75</v>
      </c>
      <c r="G24" s="204">
        <f t="shared" si="3"/>
        <v>10152742927.75</v>
      </c>
    </row>
    <row r="25" spans="1:8">
      <c r="A25" s="202" t="s">
        <v>82</v>
      </c>
      <c r="B25" s="204">
        <v>0</v>
      </c>
      <c r="C25" s="204">
        <v>0</v>
      </c>
      <c r="D25" s="204">
        <v>0</v>
      </c>
      <c r="E25" s="204">
        <v>0</v>
      </c>
      <c r="F25" s="204">
        <v>0</v>
      </c>
      <c r="G25" s="204">
        <f t="shared" si="3"/>
        <v>0</v>
      </c>
    </row>
    <row r="26" spans="1:8">
      <c r="A26" s="123" t="s">
        <v>83</v>
      </c>
      <c r="B26" s="206">
        <f t="shared" ref="B26:G26" si="4">+B18+B10</f>
        <v>545075975358.40631</v>
      </c>
      <c r="C26" s="206">
        <f t="shared" si="4"/>
        <v>54459195735.709999</v>
      </c>
      <c r="D26" s="206">
        <f t="shared" si="4"/>
        <v>11025943798.959997</v>
      </c>
      <c r="E26" s="206">
        <f t="shared" si="4"/>
        <v>16256758697</v>
      </c>
      <c r="F26" s="206">
        <f t="shared" si="4"/>
        <v>118700359293.60999</v>
      </c>
      <c r="G26" s="206">
        <f t="shared" si="4"/>
        <v>745518232883.68628</v>
      </c>
    </row>
    <row r="27" spans="1:8">
      <c r="A27" s="316" t="s">
        <v>45</v>
      </c>
      <c r="B27" s="316"/>
      <c r="C27" s="316"/>
      <c r="D27" s="316"/>
      <c r="E27" s="316"/>
      <c r="F27" s="316"/>
      <c r="G27" s="316"/>
    </row>
  </sheetData>
  <mergeCells count="9">
    <mergeCell ref="J4:P6"/>
    <mergeCell ref="A27:G27"/>
    <mergeCell ref="A1:G1"/>
    <mergeCell ref="A2:G2"/>
    <mergeCell ref="A3:G3"/>
    <mergeCell ref="A5:G5"/>
    <mergeCell ref="A6:G6"/>
    <mergeCell ref="A7:G7"/>
    <mergeCell ref="A8:G8"/>
  </mergeCells>
  <pageMargins left="0.7" right="0.7" top="0.75" bottom="0.75" header="0.3" footer="0.3"/>
  <pageSetup orientation="portrait" horizontalDpi="4294967295" verticalDpi="4294967295" r:id="rId1"/>
  <ignoredErrors>
    <ignoredError sqref="G18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zoomScale="85" zoomScaleNormal="85" workbookViewId="0">
      <selection activeCell="P20" sqref="P20"/>
    </sheetView>
  </sheetViews>
  <sheetFormatPr baseColWidth="10" defaultColWidth="11.42578125" defaultRowHeight="15"/>
  <cols>
    <col min="1" max="1" width="63" style="19" customWidth="1"/>
    <col min="2" max="2" width="12.140625" style="19" customWidth="1"/>
    <col min="3" max="3" width="16.7109375" style="19" customWidth="1"/>
    <col min="4" max="4" width="11.5703125" style="19" customWidth="1"/>
    <col min="5" max="5" width="11.7109375" style="19" customWidth="1"/>
    <col min="6" max="6" width="12.85546875" style="19" customWidth="1"/>
    <col min="7" max="7" width="12" style="19" customWidth="1"/>
    <col min="8" max="16384" width="11.42578125" style="19"/>
  </cols>
  <sheetData>
    <row r="1" spans="1:17" ht="28.5" customHeight="1">
      <c r="A1" s="245" t="s">
        <v>0</v>
      </c>
      <c r="B1" s="246"/>
      <c r="C1" s="246"/>
      <c r="D1" s="246"/>
      <c r="E1" s="246"/>
      <c r="F1" s="246"/>
      <c r="G1" s="246"/>
    </row>
    <row r="2" spans="1:17" ht="21">
      <c r="A2" s="247" t="s">
        <v>1</v>
      </c>
      <c r="B2" s="248"/>
      <c r="C2" s="248"/>
      <c r="D2" s="248"/>
      <c r="E2" s="248"/>
      <c r="F2" s="248"/>
      <c r="G2" s="248"/>
    </row>
    <row r="3" spans="1:17" ht="15.75" customHeight="1">
      <c r="A3" s="280" t="s">
        <v>10</v>
      </c>
      <c r="B3" s="281"/>
      <c r="C3" s="281"/>
      <c r="D3" s="281"/>
      <c r="E3" s="281"/>
      <c r="F3" s="281"/>
      <c r="G3" s="281"/>
    </row>
    <row r="4" spans="1:17">
      <c r="J4" s="102"/>
    </row>
    <row r="5" spans="1:17" ht="18.75" customHeight="1">
      <c r="A5" s="319" t="s">
        <v>184</v>
      </c>
      <c r="B5" s="319"/>
      <c r="C5" s="319"/>
      <c r="D5" s="319"/>
      <c r="E5" s="319"/>
      <c r="F5" s="319"/>
      <c r="G5" s="319"/>
      <c r="J5" s="282"/>
      <c r="K5" s="282"/>
      <c r="L5" s="282"/>
      <c r="M5" s="282"/>
      <c r="N5" s="282"/>
      <c r="O5" s="282"/>
      <c r="P5" s="282"/>
      <c r="Q5" s="282"/>
    </row>
    <row r="6" spans="1:17" ht="18.75">
      <c r="A6" s="300" t="s">
        <v>70</v>
      </c>
      <c r="B6" s="300"/>
      <c r="C6" s="300"/>
      <c r="D6" s="300"/>
      <c r="E6" s="300"/>
      <c r="F6" s="300"/>
      <c r="G6" s="300"/>
      <c r="J6" s="282"/>
      <c r="K6" s="282"/>
      <c r="L6" s="282"/>
      <c r="M6" s="282"/>
      <c r="N6" s="282"/>
      <c r="O6" s="282"/>
      <c r="P6" s="282"/>
      <c r="Q6" s="282"/>
    </row>
    <row r="7" spans="1:17" ht="18.75">
      <c r="A7" s="300" t="s">
        <v>196</v>
      </c>
      <c r="B7" s="300"/>
      <c r="C7" s="300"/>
      <c r="D7" s="300"/>
      <c r="E7" s="300"/>
      <c r="F7" s="300"/>
      <c r="G7" s="300"/>
      <c r="J7" s="282"/>
      <c r="K7" s="282"/>
      <c r="L7" s="282"/>
      <c r="M7" s="282"/>
      <c r="N7" s="282"/>
      <c r="O7" s="282"/>
      <c r="P7" s="282"/>
      <c r="Q7" s="282"/>
    </row>
    <row r="8" spans="1:17" ht="15.75" customHeight="1">
      <c r="A8" s="303" t="s">
        <v>12</v>
      </c>
      <c r="B8" s="303"/>
      <c r="C8" s="303"/>
      <c r="D8" s="303"/>
      <c r="E8" s="303"/>
      <c r="F8" s="303"/>
      <c r="G8" s="303"/>
      <c r="J8" s="282"/>
      <c r="K8" s="282"/>
      <c r="L8" s="282"/>
      <c r="M8" s="282"/>
      <c r="N8" s="282"/>
      <c r="O8" s="282"/>
      <c r="P8" s="282"/>
      <c r="Q8" s="282"/>
    </row>
    <row r="9" spans="1:17" ht="57">
      <c r="A9" s="199"/>
      <c r="B9" s="199" t="s">
        <v>13</v>
      </c>
      <c r="C9" s="199" t="s">
        <v>141</v>
      </c>
      <c r="D9" s="199" t="s">
        <v>157</v>
      </c>
      <c r="E9" s="199" t="s">
        <v>41</v>
      </c>
      <c r="F9" s="199" t="s">
        <v>14</v>
      </c>
      <c r="G9" s="199" t="s">
        <v>43</v>
      </c>
      <c r="J9" s="282"/>
      <c r="K9" s="282"/>
      <c r="L9" s="282"/>
      <c r="M9" s="282"/>
      <c r="N9" s="282"/>
      <c r="O9" s="282"/>
      <c r="P9" s="282"/>
      <c r="Q9" s="282"/>
    </row>
    <row r="10" spans="1:17">
      <c r="A10" s="200" t="s">
        <v>20</v>
      </c>
      <c r="B10" s="201">
        <f t="shared" ref="B10:G10" si="0">SUM(B11:B17)</f>
        <v>475123870606</v>
      </c>
      <c r="C10" s="201">
        <f t="shared" si="0"/>
        <v>81819900442</v>
      </c>
      <c r="D10" s="201">
        <f t="shared" si="0"/>
        <v>26532812153</v>
      </c>
      <c r="E10" s="201">
        <f t="shared" si="0"/>
        <v>13362787548</v>
      </c>
      <c r="F10" s="201">
        <f t="shared" si="0"/>
        <v>118470888291</v>
      </c>
      <c r="G10" s="201">
        <f t="shared" si="0"/>
        <v>715310259040</v>
      </c>
    </row>
    <row r="11" spans="1:17">
      <c r="A11" s="202" t="s">
        <v>71</v>
      </c>
      <c r="B11" s="203">
        <v>0</v>
      </c>
      <c r="C11" s="203">
        <v>0</v>
      </c>
      <c r="D11" s="203">
        <v>0</v>
      </c>
      <c r="E11" s="203">
        <v>27879666</v>
      </c>
      <c r="F11" s="203">
        <v>114877397505</v>
      </c>
      <c r="G11" s="204">
        <f t="shared" ref="G11:G17" si="1">+B11+C11+D11+E11+F11</f>
        <v>114905277171</v>
      </c>
    </row>
    <row r="12" spans="1:17">
      <c r="A12" s="202" t="s">
        <v>72</v>
      </c>
      <c r="B12" s="203">
        <v>261180722457</v>
      </c>
      <c r="C12" s="203">
        <v>79374678582</v>
      </c>
      <c r="D12" s="203">
        <v>24689353040</v>
      </c>
      <c r="E12" s="203">
        <v>12185013872</v>
      </c>
      <c r="F12" s="203">
        <v>9710712</v>
      </c>
      <c r="G12" s="204">
        <f t="shared" si="1"/>
        <v>377439478663</v>
      </c>
    </row>
    <row r="13" spans="1:17" ht="17.25" customHeight="1">
      <c r="A13" s="202" t="s">
        <v>73</v>
      </c>
      <c r="B13" s="203">
        <v>34251580772</v>
      </c>
      <c r="C13" s="203">
        <v>1192878572</v>
      </c>
      <c r="D13" s="203">
        <v>1494864512</v>
      </c>
      <c r="E13" s="203">
        <v>85260771</v>
      </c>
      <c r="F13" s="203">
        <v>80883401</v>
      </c>
      <c r="G13" s="204">
        <f t="shared" si="1"/>
        <v>37105468028</v>
      </c>
    </row>
    <row r="14" spans="1:17">
      <c r="A14" s="202" t="s">
        <v>21</v>
      </c>
      <c r="B14" s="203">
        <v>134663720202</v>
      </c>
      <c r="C14" s="203">
        <v>20618826</v>
      </c>
      <c r="D14" s="203">
        <v>0</v>
      </c>
      <c r="E14" s="203">
        <v>180195289</v>
      </c>
      <c r="F14" s="203">
        <v>917812589</v>
      </c>
      <c r="G14" s="204">
        <f t="shared" si="1"/>
        <v>135782346906</v>
      </c>
    </row>
    <row r="15" spans="1:17">
      <c r="A15" s="202" t="s">
        <v>139</v>
      </c>
      <c r="B15" s="203">
        <v>0</v>
      </c>
      <c r="C15" s="203">
        <v>0</v>
      </c>
      <c r="D15" s="203">
        <v>0</v>
      </c>
      <c r="E15" s="203">
        <v>128356</v>
      </c>
      <c r="F15" s="203">
        <v>0</v>
      </c>
      <c r="G15" s="204">
        <f t="shared" si="1"/>
        <v>128356</v>
      </c>
    </row>
    <row r="16" spans="1:17">
      <c r="A16" s="202" t="s">
        <v>74</v>
      </c>
      <c r="B16" s="203">
        <v>44975201052</v>
      </c>
      <c r="C16" s="203">
        <v>1096777458</v>
      </c>
      <c r="D16" s="203">
        <v>348094601</v>
      </c>
      <c r="E16" s="203">
        <v>877429859</v>
      </c>
      <c r="F16" s="203">
        <v>2585084084</v>
      </c>
      <c r="G16" s="204">
        <f t="shared" si="1"/>
        <v>49882587054</v>
      </c>
      <c r="K16" s="19" t="s">
        <v>226</v>
      </c>
    </row>
    <row r="17" spans="1:7">
      <c r="A17" s="202" t="s">
        <v>75</v>
      </c>
      <c r="B17" s="203">
        <v>52646123</v>
      </c>
      <c r="C17" s="203">
        <v>134947004</v>
      </c>
      <c r="D17" s="203">
        <v>500000</v>
      </c>
      <c r="E17" s="203">
        <v>6879735</v>
      </c>
      <c r="F17" s="203">
        <v>0</v>
      </c>
      <c r="G17" s="204">
        <f t="shared" si="1"/>
        <v>194972862</v>
      </c>
    </row>
    <row r="18" spans="1:7">
      <c r="A18" s="200" t="s">
        <v>22</v>
      </c>
      <c r="B18" s="201">
        <f t="shared" ref="B18:G18" si="2">SUM(B19:B25)</f>
        <v>78025518548</v>
      </c>
      <c r="C18" s="201">
        <f t="shared" si="2"/>
        <v>12618278683</v>
      </c>
      <c r="D18" s="201">
        <f t="shared" si="2"/>
        <v>4838528728</v>
      </c>
      <c r="E18" s="201">
        <f t="shared" si="2"/>
        <v>7476955434</v>
      </c>
      <c r="F18" s="201">
        <f t="shared" si="2"/>
        <v>33513902752</v>
      </c>
      <c r="G18" s="201">
        <f t="shared" si="2"/>
        <v>136473184145</v>
      </c>
    </row>
    <row r="19" spans="1:7">
      <c r="A19" s="202" t="s">
        <v>76</v>
      </c>
      <c r="B19" s="204">
        <v>25326266759</v>
      </c>
      <c r="C19" s="204">
        <v>5573447564</v>
      </c>
      <c r="D19" s="204">
        <v>25000000</v>
      </c>
      <c r="E19" s="204">
        <v>5750981645</v>
      </c>
      <c r="F19" s="204">
        <v>30141267654</v>
      </c>
      <c r="G19" s="204">
        <f t="shared" ref="G19:G25" si="3">+B19+C19+D19+E19+F19</f>
        <v>66816963622</v>
      </c>
    </row>
    <row r="20" spans="1:7">
      <c r="A20" s="202" t="s">
        <v>77</v>
      </c>
      <c r="B20" s="204">
        <v>46376697406</v>
      </c>
      <c r="C20" s="204">
        <v>6335174005</v>
      </c>
      <c r="D20" s="204">
        <v>554007594</v>
      </c>
      <c r="E20" s="204">
        <v>1611546254</v>
      </c>
      <c r="F20" s="204">
        <v>3137673562</v>
      </c>
      <c r="G20" s="204">
        <f t="shared" si="3"/>
        <v>58015098821</v>
      </c>
    </row>
    <row r="21" spans="1:7">
      <c r="A21" s="202" t="s">
        <v>78</v>
      </c>
      <c r="B21" s="204">
        <v>245259403</v>
      </c>
      <c r="C21" s="204">
        <v>40011778</v>
      </c>
      <c r="D21" s="204">
        <v>302500</v>
      </c>
      <c r="E21" s="204">
        <v>3200000</v>
      </c>
      <c r="F21" s="204">
        <v>4500000</v>
      </c>
      <c r="G21" s="204">
        <f t="shared" si="3"/>
        <v>293273681</v>
      </c>
    </row>
    <row r="22" spans="1:7">
      <c r="A22" s="202" t="s">
        <v>79</v>
      </c>
      <c r="B22" s="204">
        <v>1463006548</v>
      </c>
      <c r="C22" s="204">
        <v>274017178</v>
      </c>
      <c r="D22" s="204">
        <v>36595146</v>
      </c>
      <c r="E22" s="204">
        <v>63127664</v>
      </c>
      <c r="F22" s="204">
        <v>230461536</v>
      </c>
      <c r="G22" s="204">
        <f t="shared" si="3"/>
        <v>2067208072</v>
      </c>
    </row>
    <row r="23" spans="1:7">
      <c r="A23" s="202" t="s">
        <v>80</v>
      </c>
      <c r="B23" s="204">
        <v>3168004157</v>
      </c>
      <c r="C23" s="204">
        <v>297216534</v>
      </c>
      <c r="D23" s="204">
        <v>648000</v>
      </c>
      <c r="E23" s="204">
        <v>32258534</v>
      </c>
      <c r="F23" s="204">
        <v>0</v>
      </c>
      <c r="G23" s="204">
        <f t="shared" si="3"/>
        <v>3498127225</v>
      </c>
    </row>
    <row r="24" spans="1:7">
      <c r="A24" s="205" t="s">
        <v>81</v>
      </c>
      <c r="B24" s="204">
        <v>0</v>
      </c>
      <c r="C24" s="204">
        <v>96101923</v>
      </c>
      <c r="D24" s="204">
        <v>4221975488</v>
      </c>
      <c r="E24" s="204">
        <v>15841337</v>
      </c>
      <c r="F24" s="204">
        <v>0</v>
      </c>
      <c r="G24" s="204">
        <f t="shared" si="3"/>
        <v>4333918748</v>
      </c>
    </row>
    <row r="25" spans="1:7">
      <c r="A25" s="202" t="s">
        <v>82</v>
      </c>
      <c r="B25" s="204">
        <v>1446284275</v>
      </c>
      <c r="C25" s="204">
        <v>2309701</v>
      </c>
      <c r="D25" s="204">
        <v>0</v>
      </c>
      <c r="E25" s="204">
        <v>0</v>
      </c>
      <c r="F25" s="204">
        <v>0</v>
      </c>
      <c r="G25" s="204">
        <f t="shared" si="3"/>
        <v>1448593976</v>
      </c>
    </row>
    <row r="26" spans="1:7">
      <c r="A26" s="123" t="s">
        <v>83</v>
      </c>
      <c r="B26" s="206">
        <f t="shared" ref="B26:G26" si="4">+B10+B18</f>
        <v>553149389154</v>
      </c>
      <c r="C26" s="206">
        <f t="shared" si="4"/>
        <v>94438179125</v>
      </c>
      <c r="D26" s="206">
        <f t="shared" si="4"/>
        <v>31371340881</v>
      </c>
      <c r="E26" s="206">
        <f t="shared" si="4"/>
        <v>20839742982</v>
      </c>
      <c r="F26" s="206">
        <f t="shared" si="4"/>
        <v>151984791043</v>
      </c>
      <c r="G26" s="206">
        <f t="shared" si="4"/>
        <v>851783443185</v>
      </c>
    </row>
    <row r="27" spans="1:7">
      <c r="A27" s="316" t="s">
        <v>45</v>
      </c>
      <c r="B27" s="316"/>
      <c r="C27" s="316"/>
      <c r="D27" s="316"/>
      <c r="E27" s="316"/>
      <c r="F27" s="316"/>
      <c r="G27" s="316"/>
    </row>
  </sheetData>
  <mergeCells count="9">
    <mergeCell ref="J5:Q9"/>
    <mergeCell ref="A8:G8"/>
    <mergeCell ref="A27:G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pageSetup orientation="portrait" horizontalDpi="4294967295" verticalDpi="4294967295" r:id="rId1"/>
  <ignoredErrors>
    <ignoredError sqref="G18" formula="1"/>
    <ignoredError sqref="B10:F10 B18:F18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Normal="100" zoomScaleSheetLayoutView="100" workbookViewId="0">
      <selection activeCell="N31" sqref="N31"/>
    </sheetView>
  </sheetViews>
  <sheetFormatPr baseColWidth="10" defaultColWidth="11.42578125" defaultRowHeight="15"/>
  <cols>
    <col min="1" max="1" width="38.7109375" customWidth="1"/>
    <col min="2" max="2" width="12.5703125" style="19" customWidth="1"/>
    <col min="3" max="3" width="17.140625" style="19" customWidth="1"/>
    <col min="4" max="5" width="11.85546875" style="19" customWidth="1"/>
    <col min="6" max="6" width="13.42578125" style="19" customWidth="1"/>
    <col min="7" max="7" width="10.28515625" style="19" customWidth="1"/>
    <col min="10" max="10" width="20.5703125" bestFit="1" customWidth="1"/>
  </cols>
  <sheetData>
    <row r="1" spans="1:14" ht="28.5" customHeight="1">
      <c r="A1" s="245" t="s">
        <v>0</v>
      </c>
      <c r="B1" s="246"/>
      <c r="C1" s="246"/>
      <c r="D1" s="246"/>
      <c r="E1" s="246"/>
      <c r="F1" s="246"/>
      <c r="G1" s="246"/>
      <c r="H1" s="246"/>
      <c r="I1" s="27"/>
      <c r="J1" s="27"/>
    </row>
    <row r="2" spans="1:14" ht="21">
      <c r="A2" s="247" t="s">
        <v>1</v>
      </c>
      <c r="B2" s="248"/>
      <c r="C2" s="248"/>
      <c r="D2" s="248"/>
      <c r="E2" s="248"/>
      <c r="F2" s="248"/>
      <c r="G2" s="248"/>
      <c r="H2" s="248"/>
      <c r="I2" s="29"/>
      <c r="J2" s="29"/>
      <c r="K2" s="102"/>
      <c r="L2" s="19"/>
      <c r="M2" s="19"/>
      <c r="N2" s="19"/>
    </row>
    <row r="3" spans="1:14" ht="15.75" customHeight="1">
      <c r="A3" s="280" t="s">
        <v>10</v>
      </c>
      <c r="B3" s="281"/>
      <c r="C3" s="281"/>
      <c r="D3" s="281"/>
      <c r="E3" s="281"/>
      <c r="F3" s="281"/>
      <c r="G3" s="281"/>
      <c r="H3" s="281"/>
      <c r="I3" s="31"/>
      <c r="J3" s="31"/>
      <c r="K3" s="282"/>
      <c r="L3" s="282"/>
      <c r="M3" s="282"/>
      <c r="N3" s="282"/>
    </row>
    <row r="4" spans="1:14">
      <c r="A4" s="19"/>
      <c r="H4" s="19"/>
      <c r="I4" s="19"/>
      <c r="J4" s="19"/>
      <c r="K4" s="282"/>
      <c r="L4" s="282"/>
      <c r="M4" s="282"/>
      <c r="N4" s="282"/>
    </row>
    <row r="5" spans="1:14" ht="18.75">
      <c r="A5" s="300" t="s">
        <v>185</v>
      </c>
      <c r="B5" s="300"/>
      <c r="C5" s="300"/>
      <c r="D5" s="300"/>
      <c r="E5" s="300"/>
      <c r="F5" s="300"/>
      <c r="G5" s="300"/>
      <c r="H5" s="300"/>
      <c r="I5" s="60"/>
      <c r="J5" s="60"/>
      <c r="K5" s="282"/>
      <c r="L5" s="282"/>
      <c r="M5" s="282"/>
      <c r="N5" s="282"/>
    </row>
    <row r="6" spans="1:14" ht="18.75">
      <c r="A6" s="300" t="s">
        <v>11</v>
      </c>
      <c r="B6" s="300"/>
      <c r="C6" s="300"/>
      <c r="D6" s="300"/>
      <c r="E6" s="300"/>
      <c r="F6" s="300"/>
      <c r="G6" s="300"/>
      <c r="H6" s="300"/>
      <c r="I6" s="60"/>
      <c r="J6" s="60"/>
      <c r="K6" s="282"/>
      <c r="L6" s="282"/>
      <c r="M6" s="282"/>
      <c r="N6" s="282"/>
    </row>
    <row r="7" spans="1:14" ht="18.75">
      <c r="A7" s="300" t="s">
        <v>196</v>
      </c>
      <c r="B7" s="300"/>
      <c r="C7" s="300"/>
      <c r="D7" s="300"/>
      <c r="E7" s="300"/>
      <c r="F7" s="300"/>
      <c r="G7" s="300"/>
      <c r="H7" s="300"/>
      <c r="I7" s="60"/>
      <c r="J7" s="60"/>
      <c r="K7" s="282"/>
      <c r="L7" s="282"/>
      <c r="M7" s="282"/>
      <c r="N7" s="282"/>
    </row>
    <row r="8" spans="1:14">
      <c r="A8" s="320" t="s">
        <v>12</v>
      </c>
      <c r="B8" s="320"/>
      <c r="C8" s="320"/>
      <c r="D8" s="320"/>
      <c r="E8" s="320"/>
      <c r="F8" s="320"/>
      <c r="G8" s="320"/>
      <c r="H8" s="320"/>
      <c r="I8" s="63"/>
      <c r="J8" s="63"/>
    </row>
    <row r="9" spans="1:14" ht="51">
      <c r="A9" s="191"/>
      <c r="B9" s="191" t="s">
        <v>13</v>
      </c>
      <c r="C9" s="191" t="s">
        <v>141</v>
      </c>
      <c r="D9" s="191" t="s">
        <v>157</v>
      </c>
      <c r="E9" s="191" t="s">
        <v>41</v>
      </c>
      <c r="F9" s="191" t="s">
        <v>14</v>
      </c>
      <c r="G9" s="191" t="s">
        <v>15</v>
      </c>
      <c r="H9" s="191" t="s">
        <v>173</v>
      </c>
    </row>
    <row r="10" spans="1:14">
      <c r="A10" s="123" t="s">
        <v>16</v>
      </c>
      <c r="B10" s="124">
        <f t="shared" ref="B10:G10" si="0">+B11+B12</f>
        <v>604098750296.60278</v>
      </c>
      <c r="C10" s="124">
        <f t="shared" si="0"/>
        <v>8114117972.3199863</v>
      </c>
      <c r="D10" s="124">
        <f t="shared" si="0"/>
        <v>379244195.94001162</v>
      </c>
      <c r="E10" s="124">
        <f t="shared" si="0"/>
        <v>5276347179</v>
      </c>
      <c r="F10" s="124">
        <f t="shared" si="0"/>
        <v>66329254101.210007</v>
      </c>
      <c r="G10" s="124">
        <f t="shared" si="0"/>
        <v>684197713745.07288</v>
      </c>
      <c r="H10" s="125">
        <f>+G10/3954408891928.14</f>
        <v>0.17302148878475315</v>
      </c>
      <c r="J10" s="66"/>
    </row>
    <row r="11" spans="1:14">
      <c r="A11" s="126" t="s">
        <v>17</v>
      </c>
      <c r="B11" s="127">
        <f>+'6. Ejecu. Consolidado Ingresos'!C10</f>
        <v>601291497593.97278</v>
      </c>
      <c r="C11" s="127">
        <f>+'6. Ejecu. Consolidado Ingresos'!D10</f>
        <v>7565286748.4999866</v>
      </c>
      <c r="D11" s="127">
        <f>+'6. Ejecu. Consolidado Ingresos'!E10</f>
        <v>379244195.94001162</v>
      </c>
      <c r="E11" s="127">
        <f>+'6. Ejecu. Consolidado Ingresos'!F10</f>
        <v>4846921637</v>
      </c>
      <c r="F11" s="127">
        <f>+'6. Ejecu. Consolidado Ingresos'!G10</f>
        <v>66222854061.920013</v>
      </c>
      <c r="G11" s="127">
        <f>SUM(B11:F11)</f>
        <v>680305804237.33289</v>
      </c>
      <c r="H11" s="128">
        <f>+G11/3954408891928.14</f>
        <v>0.17203729377252661</v>
      </c>
    </row>
    <row r="12" spans="1:14">
      <c r="A12" s="126" t="s">
        <v>18</v>
      </c>
      <c r="B12" s="127">
        <f>+'6. Ejecu. Consolidado Ingresos'!C18</f>
        <v>2807252702.6300011</v>
      </c>
      <c r="C12" s="127">
        <f>+'6. Ejecu. Consolidado Ingresos'!D18</f>
        <v>548831223.81999922</v>
      </c>
      <c r="D12" s="127">
        <f>+'6. Ejecu. Consolidado Ingresos'!E18</f>
        <v>0</v>
      </c>
      <c r="E12" s="127">
        <f>+'6. Ejecu. Consolidado Ingresos'!F18</f>
        <v>429425542</v>
      </c>
      <c r="F12" s="127">
        <f>+'6. Ejecu. Consolidado Ingresos'!G18</f>
        <v>106400039.28999621</v>
      </c>
      <c r="G12" s="127">
        <f>SUM(B12:F12)</f>
        <v>3891909507.7399964</v>
      </c>
      <c r="H12" s="128">
        <f>+G12/3954408891928.14</f>
        <v>9.8419501222655071E-4</v>
      </c>
    </row>
    <row r="13" spans="1:14">
      <c r="A13" s="129"/>
      <c r="B13" s="130"/>
      <c r="C13" s="130"/>
      <c r="D13" s="130"/>
      <c r="E13" s="130"/>
      <c r="F13" s="130"/>
      <c r="G13" s="130"/>
      <c r="H13" s="131"/>
    </row>
    <row r="14" spans="1:14">
      <c r="A14" s="123" t="s">
        <v>19</v>
      </c>
      <c r="B14" s="124">
        <f t="shared" ref="B14:G14" si="1">+B15+B17</f>
        <v>545075975358.40631</v>
      </c>
      <c r="C14" s="124">
        <f t="shared" si="1"/>
        <v>54459195735.709999</v>
      </c>
      <c r="D14" s="124">
        <f t="shared" si="1"/>
        <v>11025943798.959997</v>
      </c>
      <c r="E14" s="124">
        <f t="shared" si="1"/>
        <v>16256758697</v>
      </c>
      <c r="F14" s="124">
        <f t="shared" si="1"/>
        <v>118700359293.60999</v>
      </c>
      <c r="G14" s="124">
        <f t="shared" si="1"/>
        <v>745518232883.68628</v>
      </c>
      <c r="H14" s="125">
        <f>+G14/3954408891928.14</f>
        <v>0.1885283624577774</v>
      </c>
    </row>
    <row r="15" spans="1:14">
      <c r="A15" s="126" t="s">
        <v>20</v>
      </c>
      <c r="B15" s="127">
        <f>+'8. Ejec. Consolidado Gastos'!B10</f>
        <v>480503953969.43616</v>
      </c>
      <c r="C15" s="127">
        <f>+'8. Ejec. Consolidado Gastos'!C10</f>
        <v>50342708276.339996</v>
      </c>
      <c r="D15" s="127">
        <f>+'8. Ejec. Consolidado Gastos'!D10</f>
        <v>10944983831.259996</v>
      </c>
      <c r="E15" s="127">
        <f>+'8. Ejec. Consolidado Gastos'!E10</f>
        <v>11481318510</v>
      </c>
      <c r="F15" s="127">
        <f>+'8. Ejec. Consolidado Gastos'!F10</f>
        <v>49771406328.999969</v>
      </c>
      <c r="G15" s="127">
        <f>SUM(B15:F15)</f>
        <v>603044370916.03613</v>
      </c>
      <c r="H15" s="128">
        <f>+G15/3954408891928.14</f>
        <v>0.15249924512029817</v>
      </c>
    </row>
    <row r="16" spans="1:14">
      <c r="A16" s="132" t="s">
        <v>21</v>
      </c>
      <c r="B16" s="133">
        <f>+'8. Ejec. Consolidado Gastos'!B14</f>
        <v>122512215773.66002</v>
      </c>
      <c r="C16" s="133">
        <f>+'8. Ejec. Consolidado Gastos'!C14</f>
        <v>338276.90999999992</v>
      </c>
      <c r="D16" s="133">
        <f>+'8. Ejec. Consolidado Gastos'!D14</f>
        <v>0</v>
      </c>
      <c r="E16" s="133">
        <f>+'8. Ejec. Consolidado Gastos'!E14</f>
        <v>132467106</v>
      </c>
      <c r="F16" s="133">
        <f>+'8. Ejec. Consolidado Gastos'!F14</f>
        <v>4772883273.5100002</v>
      </c>
      <c r="G16" s="133">
        <f>SUM(B16:F16)</f>
        <v>127417904430.08002</v>
      </c>
      <c r="H16" s="134">
        <f>+G16/3954408891928.14</f>
        <v>3.2221732226571036E-2</v>
      </c>
    </row>
    <row r="17" spans="1:8">
      <c r="A17" s="126" t="s">
        <v>22</v>
      </c>
      <c r="B17" s="127">
        <f>+'8. Ejec. Consolidado Gastos'!B18</f>
        <v>64572021388.970146</v>
      </c>
      <c r="C17" s="127">
        <f>+'8. Ejec. Consolidado Gastos'!C18</f>
        <v>4116487459.3699999</v>
      </c>
      <c r="D17" s="127">
        <f>+'8. Ejec. Consolidado Gastos'!D18</f>
        <v>80959967.699999988</v>
      </c>
      <c r="E17" s="127">
        <f>+'8. Ejec. Consolidado Gastos'!E18</f>
        <v>4775440187</v>
      </c>
      <c r="F17" s="127">
        <f>+'8. Ejec. Consolidado Gastos'!F18</f>
        <v>68928952964.610016</v>
      </c>
      <c r="G17" s="127">
        <f>SUM(B17:F17)</f>
        <v>142473861967.65015</v>
      </c>
      <c r="H17" s="128">
        <f>+G17/3954408891928.14</f>
        <v>3.6029117337479218E-2</v>
      </c>
    </row>
    <row r="18" spans="1:8">
      <c r="A18" s="135"/>
      <c r="B18" s="136"/>
      <c r="C18" s="136"/>
      <c r="D18" s="136"/>
      <c r="E18" s="136"/>
      <c r="F18" s="136"/>
      <c r="G18" s="136"/>
      <c r="H18" s="137"/>
    </row>
    <row r="19" spans="1:8">
      <c r="A19" s="123" t="s">
        <v>23</v>
      </c>
      <c r="B19" s="124"/>
      <c r="C19" s="124"/>
      <c r="D19" s="124"/>
      <c r="E19" s="124"/>
      <c r="F19" s="124"/>
      <c r="G19" s="124"/>
      <c r="H19" s="125"/>
    </row>
    <row r="20" spans="1:8">
      <c r="A20" s="138" t="s">
        <v>24</v>
      </c>
      <c r="B20" s="139">
        <f t="shared" ref="B20:G20" si="2">+B11-B15</f>
        <v>120787543624.53662</v>
      </c>
      <c r="C20" s="139">
        <f t="shared" si="2"/>
        <v>-42777421527.840012</v>
      </c>
      <c r="D20" s="139">
        <f t="shared" si="2"/>
        <v>-10565739635.319984</v>
      </c>
      <c r="E20" s="139">
        <f t="shared" si="2"/>
        <v>-6634396873</v>
      </c>
      <c r="F20" s="139">
        <f t="shared" si="2"/>
        <v>16451447732.920044</v>
      </c>
      <c r="G20" s="139">
        <f t="shared" si="2"/>
        <v>77261433321.296753</v>
      </c>
      <c r="H20" s="140">
        <f>+G20/3954408891928.14</f>
        <v>1.953804865222844E-2</v>
      </c>
    </row>
    <row r="21" spans="1:8">
      <c r="A21" s="138" t="s">
        <v>25</v>
      </c>
      <c r="B21" s="139">
        <f t="shared" ref="B21:G21" si="3">+B12-B17</f>
        <v>-61764768686.340149</v>
      </c>
      <c r="C21" s="139">
        <f t="shared" si="3"/>
        <v>-3567656235.5500007</v>
      </c>
      <c r="D21" s="139">
        <f t="shared" si="3"/>
        <v>-80959967.699999988</v>
      </c>
      <c r="E21" s="139">
        <f t="shared" si="3"/>
        <v>-4346014645</v>
      </c>
      <c r="F21" s="139">
        <f t="shared" si="3"/>
        <v>-68822552925.320023</v>
      </c>
      <c r="G21" s="139">
        <f t="shared" si="3"/>
        <v>-138581952459.91016</v>
      </c>
      <c r="H21" s="140">
        <f>+G21/3954408891928.14</f>
        <v>-3.5044922325252671E-2</v>
      </c>
    </row>
    <row r="22" spans="1:8">
      <c r="A22" s="138" t="s">
        <v>26</v>
      </c>
      <c r="B22" s="139">
        <f t="shared" ref="B22:G22" si="4">+B10-B14</f>
        <v>59022774938.196472</v>
      </c>
      <c r="C22" s="139">
        <f t="shared" si="4"/>
        <v>-46345077763.390015</v>
      </c>
      <c r="D22" s="139">
        <f t="shared" si="4"/>
        <v>-10646699603.019985</v>
      </c>
      <c r="E22" s="139">
        <f t="shared" si="4"/>
        <v>-10980411518</v>
      </c>
      <c r="F22" s="139">
        <f t="shared" si="4"/>
        <v>-52371105192.399979</v>
      </c>
      <c r="G22" s="139">
        <f t="shared" si="4"/>
        <v>-61320519138.613403</v>
      </c>
      <c r="H22" s="140">
        <f>+G22/3954408891928.14</f>
        <v>-1.5506873673024233E-2</v>
      </c>
    </row>
    <row r="23" spans="1:8">
      <c r="A23" s="138" t="s">
        <v>27</v>
      </c>
      <c r="B23" s="139">
        <f t="shared" ref="B23:G23" si="5">+B10-(B14-B16)</f>
        <v>181534990711.85651</v>
      </c>
      <c r="C23" s="139">
        <f t="shared" si="5"/>
        <v>-46344739486.480011</v>
      </c>
      <c r="D23" s="139">
        <f t="shared" si="5"/>
        <v>-10646699603.019985</v>
      </c>
      <c r="E23" s="139">
        <f t="shared" si="5"/>
        <v>-10847944412</v>
      </c>
      <c r="F23" s="139">
        <f t="shared" si="5"/>
        <v>-47598221918.889984</v>
      </c>
      <c r="G23" s="139">
        <f t="shared" si="5"/>
        <v>66097385291.466675</v>
      </c>
      <c r="H23" s="140">
        <f>+G23/3954408891928.14</f>
        <v>1.6714858553546819E-2</v>
      </c>
    </row>
    <row r="24" spans="1:8">
      <c r="A24" s="141"/>
      <c r="B24" s="142"/>
      <c r="C24" s="142"/>
      <c r="D24" s="142"/>
      <c r="E24" s="142"/>
      <c r="F24" s="142"/>
      <c r="G24" s="142"/>
      <c r="H24" s="143"/>
    </row>
    <row r="25" spans="1:8">
      <c r="A25" s="123" t="s">
        <v>28</v>
      </c>
      <c r="B25" s="124">
        <f t="shared" ref="B25:G25" si="6">+B26-B27</f>
        <v>91970224599.109985</v>
      </c>
      <c r="C25" s="124">
        <f t="shared" si="6"/>
        <v>745223319.36999989</v>
      </c>
      <c r="D25" s="124">
        <f t="shared" si="6"/>
        <v>-9843371.0500000007</v>
      </c>
      <c r="E25" s="124">
        <f t="shared" si="6"/>
        <v>-2024436336</v>
      </c>
      <c r="F25" s="124">
        <f t="shared" si="6"/>
        <v>-9291020350.5499992</v>
      </c>
      <c r="G25" s="124">
        <f t="shared" si="6"/>
        <v>81390147860.879974</v>
      </c>
      <c r="H25" s="125">
        <f>+G25/3954408891928.14</f>
        <v>2.0582127464617031E-2</v>
      </c>
    </row>
    <row r="26" spans="1:8">
      <c r="A26" s="126" t="s">
        <v>29</v>
      </c>
      <c r="B26" s="127">
        <v>217376902950.82999</v>
      </c>
      <c r="C26" s="127">
        <v>949999997</v>
      </c>
      <c r="D26" s="127">
        <v>0</v>
      </c>
      <c r="E26" s="127">
        <v>593883930</v>
      </c>
      <c r="F26" s="127">
        <v>19881136467.549999</v>
      </c>
      <c r="G26" s="127">
        <f>+B26+C26+D26+E26+F26</f>
        <v>238801923345.37997</v>
      </c>
      <c r="H26" s="128">
        <f>+G26/3954408891928.14</f>
        <v>6.0388778670013042E-2</v>
      </c>
    </row>
    <row r="27" spans="1:8">
      <c r="A27" s="126" t="s">
        <v>30</v>
      </c>
      <c r="B27" s="127">
        <v>125406678351.72</v>
      </c>
      <c r="C27" s="127">
        <v>204776677.63000005</v>
      </c>
      <c r="D27" s="127">
        <v>9843371.0500000007</v>
      </c>
      <c r="E27" s="127">
        <v>2618320266</v>
      </c>
      <c r="F27" s="127">
        <v>29172156818.099998</v>
      </c>
      <c r="G27" s="127">
        <f>+B27+C27+D27+E27+F27</f>
        <v>157411775484.5</v>
      </c>
      <c r="H27" s="128">
        <f>+G27/3954408891928.14</f>
        <v>3.9806651205396011E-2</v>
      </c>
    </row>
    <row r="28" spans="1:8">
      <c r="A28" s="144"/>
      <c r="B28" s="145"/>
      <c r="C28" s="145"/>
      <c r="D28" s="145"/>
      <c r="E28" s="145"/>
      <c r="F28" s="145"/>
      <c r="G28" s="145"/>
      <c r="H28" s="207"/>
    </row>
    <row r="29" spans="1:8">
      <c r="A29" s="123" t="s">
        <v>31</v>
      </c>
      <c r="B29" s="125">
        <f t="shared" ref="B29:G29" si="7">+B22/3954408891928.14</f>
        <v>1.4925814843951914E-2</v>
      </c>
      <c r="C29" s="125">
        <f t="shared" si="7"/>
        <v>-1.1719849674117161E-2</v>
      </c>
      <c r="D29" s="125">
        <f t="shared" si="7"/>
        <v>-2.6923618406665918E-3</v>
      </c>
      <c r="E29" s="125">
        <f t="shared" si="7"/>
        <v>-2.7767516759365858E-3</v>
      </c>
      <c r="F29" s="125">
        <f t="shared" si="7"/>
        <v>-1.3243725326255834E-2</v>
      </c>
      <c r="G29" s="125">
        <f t="shared" si="7"/>
        <v>-1.5506873673024233E-2</v>
      </c>
      <c r="H29" s="125"/>
    </row>
    <row r="30" spans="1:8">
      <c r="A30" s="62" t="s">
        <v>84</v>
      </c>
    </row>
    <row r="31" spans="1:8">
      <c r="B31"/>
      <c r="C31"/>
      <c r="D31"/>
      <c r="E31"/>
      <c r="F31"/>
      <c r="G31"/>
    </row>
    <row r="32" spans="1:8">
      <c r="A32" s="66">
        <v>3558755326832.73</v>
      </c>
      <c r="B32"/>
      <c r="C32"/>
      <c r="D32"/>
      <c r="E32"/>
      <c r="F32"/>
      <c r="G32"/>
    </row>
    <row r="33" spans="1:7">
      <c r="A33" s="66"/>
      <c r="B33"/>
      <c r="C33"/>
      <c r="D33"/>
      <c r="E33"/>
      <c r="F33"/>
      <c r="G33"/>
    </row>
    <row r="34" spans="1:7">
      <c r="A34" s="66">
        <v>3620230799402.5801</v>
      </c>
      <c r="B34"/>
      <c r="C34"/>
      <c r="D34"/>
      <c r="E34"/>
      <c r="F34"/>
      <c r="G34"/>
    </row>
    <row r="35" spans="1:7">
      <c r="B35"/>
      <c r="C35"/>
      <c r="D35"/>
      <c r="E35"/>
      <c r="F35"/>
      <c r="G35"/>
    </row>
    <row r="36" spans="1:7">
      <c r="A36">
        <v>3954408.8919281401</v>
      </c>
    </row>
    <row r="37" spans="1:7">
      <c r="A37" s="66">
        <v>3954408891928.1401</v>
      </c>
    </row>
  </sheetData>
  <mergeCells count="8">
    <mergeCell ref="K3:N7"/>
    <mergeCell ref="A7:H7"/>
    <mergeCell ref="A8:H8"/>
    <mergeCell ref="A1:H1"/>
    <mergeCell ref="A2:H2"/>
    <mergeCell ref="A3:H3"/>
    <mergeCell ref="A5:H5"/>
    <mergeCell ref="A6:H6"/>
  </mergeCells>
  <pageMargins left="3.937007874015748E-2" right="0" top="0.35433070866141736" bottom="0.35433070866141736" header="0.31496062992125984" footer="0.31496062992125984"/>
  <pageSetup scale="58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zoomScale="85" zoomScaleNormal="85" zoomScaleSheetLayoutView="100" workbookViewId="0">
      <selection activeCell="O32" sqref="O32"/>
    </sheetView>
  </sheetViews>
  <sheetFormatPr baseColWidth="10" defaultColWidth="11.42578125" defaultRowHeight="15"/>
  <cols>
    <col min="1" max="1" width="43.28515625" style="19" customWidth="1"/>
    <col min="2" max="2" width="11.5703125" style="19" customWidth="1"/>
    <col min="3" max="3" width="17.140625" style="19" bestFit="1" customWidth="1"/>
    <col min="4" max="4" width="12.140625" style="19" customWidth="1"/>
    <col min="5" max="5" width="11.7109375" style="19" customWidth="1"/>
    <col min="6" max="6" width="13.140625" style="19" customWidth="1"/>
    <col min="7" max="7" width="11.5703125" style="19" customWidth="1"/>
    <col min="8" max="8" width="12.140625" style="19" customWidth="1"/>
    <col min="9" max="9" width="11.42578125" style="19"/>
    <col min="10" max="10" width="20.5703125" style="19" bestFit="1" customWidth="1"/>
    <col min="11" max="16384" width="11.42578125" style="19"/>
  </cols>
  <sheetData>
    <row r="1" spans="1:14" ht="28.5" customHeight="1">
      <c r="A1" s="245" t="s">
        <v>0</v>
      </c>
      <c r="B1" s="246"/>
      <c r="C1" s="246"/>
      <c r="D1" s="246"/>
      <c r="E1" s="246"/>
      <c r="F1" s="246"/>
      <c r="G1" s="246"/>
      <c r="H1" s="246"/>
      <c r="I1" s="27"/>
      <c r="J1" s="27"/>
    </row>
    <row r="2" spans="1:14" ht="21">
      <c r="A2" s="247" t="s">
        <v>1</v>
      </c>
      <c r="B2" s="248"/>
      <c r="C2" s="248"/>
      <c r="D2" s="248"/>
      <c r="E2" s="248"/>
      <c r="F2" s="248"/>
      <c r="G2" s="248"/>
      <c r="H2" s="248"/>
      <c r="I2" s="29"/>
      <c r="J2" s="29"/>
    </row>
    <row r="3" spans="1:14" ht="15.75" customHeight="1">
      <c r="A3" s="280" t="s">
        <v>10</v>
      </c>
      <c r="B3" s="281"/>
      <c r="C3" s="281"/>
      <c r="D3" s="281"/>
      <c r="E3" s="281"/>
      <c r="F3" s="281"/>
      <c r="G3" s="281"/>
      <c r="H3" s="281"/>
      <c r="I3" s="31"/>
      <c r="J3" s="31"/>
      <c r="K3" s="102"/>
    </row>
    <row r="4" spans="1:14">
      <c r="K4" s="282"/>
      <c r="L4" s="282"/>
      <c r="M4" s="282"/>
      <c r="N4" s="282"/>
    </row>
    <row r="5" spans="1:14" ht="18" customHeight="1">
      <c r="A5" s="300" t="s">
        <v>186</v>
      </c>
      <c r="B5" s="300"/>
      <c r="C5" s="300"/>
      <c r="D5" s="300"/>
      <c r="E5" s="300"/>
      <c r="F5" s="300"/>
      <c r="G5" s="300"/>
      <c r="H5" s="300"/>
      <c r="I5" s="60"/>
      <c r="J5" s="60"/>
      <c r="K5" s="282"/>
      <c r="L5" s="282"/>
      <c r="M5" s="282"/>
      <c r="N5" s="282"/>
    </row>
    <row r="6" spans="1:14" ht="18.75">
      <c r="A6" s="300" t="s">
        <v>11</v>
      </c>
      <c r="B6" s="300"/>
      <c r="C6" s="300"/>
      <c r="D6" s="300"/>
      <c r="E6" s="300"/>
      <c r="F6" s="300"/>
      <c r="G6" s="300"/>
      <c r="H6" s="300"/>
      <c r="I6" s="60"/>
      <c r="J6" s="60"/>
      <c r="K6" s="282"/>
      <c r="L6" s="282"/>
      <c r="M6" s="282"/>
      <c r="N6" s="282"/>
    </row>
    <row r="7" spans="1:14" ht="18.75">
      <c r="A7" s="300" t="s">
        <v>196</v>
      </c>
      <c r="B7" s="300"/>
      <c r="C7" s="300"/>
      <c r="D7" s="300"/>
      <c r="E7" s="300"/>
      <c r="F7" s="300"/>
      <c r="G7" s="300"/>
      <c r="H7" s="300"/>
      <c r="I7" s="60"/>
      <c r="J7" s="60"/>
      <c r="K7" s="282"/>
      <c r="L7" s="282"/>
      <c r="M7" s="282"/>
      <c r="N7" s="282"/>
    </row>
    <row r="8" spans="1:14">
      <c r="A8" s="320" t="s">
        <v>12</v>
      </c>
      <c r="B8" s="320"/>
      <c r="C8" s="320"/>
      <c r="D8" s="320"/>
      <c r="E8" s="320"/>
      <c r="F8" s="320"/>
      <c r="G8" s="320"/>
      <c r="H8" s="320"/>
      <c r="I8" s="63"/>
      <c r="J8" s="63"/>
      <c r="K8" s="282"/>
      <c r="L8" s="282"/>
      <c r="M8" s="282"/>
      <c r="N8" s="282"/>
    </row>
    <row r="9" spans="1:14" ht="51">
      <c r="A9" s="191"/>
      <c r="B9" s="191" t="s">
        <v>13</v>
      </c>
      <c r="C9" s="191" t="s">
        <v>141</v>
      </c>
      <c r="D9" s="191" t="s">
        <v>157</v>
      </c>
      <c r="E9" s="191" t="s">
        <v>41</v>
      </c>
      <c r="F9" s="191" t="s">
        <v>14</v>
      </c>
      <c r="G9" s="191" t="s">
        <v>15</v>
      </c>
      <c r="H9" s="191" t="s">
        <v>173</v>
      </c>
    </row>
    <row r="10" spans="1:14">
      <c r="A10" s="123" t="s">
        <v>16</v>
      </c>
      <c r="B10" s="124">
        <f t="shared" ref="B10:G10" si="0">+B11+B12</f>
        <v>602887059987</v>
      </c>
      <c r="C10" s="124">
        <f t="shared" si="0"/>
        <v>25250618274</v>
      </c>
      <c r="D10" s="124">
        <f t="shared" si="0"/>
        <v>22464454915</v>
      </c>
      <c r="E10" s="124">
        <f t="shared" si="0"/>
        <v>8530279913</v>
      </c>
      <c r="F10" s="124">
        <f t="shared" si="0"/>
        <v>110411678568</v>
      </c>
      <c r="G10" s="124">
        <f t="shared" si="0"/>
        <v>769544091657</v>
      </c>
      <c r="H10" s="125">
        <f>+G10/$A$41</f>
        <v>0.19897830594182372</v>
      </c>
      <c r="J10" s="66"/>
    </row>
    <row r="11" spans="1:14">
      <c r="A11" s="126" t="s">
        <v>17</v>
      </c>
      <c r="B11" s="127">
        <v>601241821918</v>
      </c>
      <c r="C11" s="127">
        <v>25250618274</v>
      </c>
      <c r="D11" s="127">
        <v>22432097315</v>
      </c>
      <c r="E11" s="127">
        <v>7260640927</v>
      </c>
      <c r="F11" s="127">
        <v>109670531953</v>
      </c>
      <c r="G11" s="127">
        <f>SUM(B11:F11)</f>
        <v>765855710387</v>
      </c>
      <c r="H11" s="128">
        <f t="shared" ref="H11:H29" si="1">+G11/$A$41</f>
        <v>0.19802461418493961</v>
      </c>
    </row>
    <row r="12" spans="1:14">
      <c r="A12" s="126" t="s">
        <v>18</v>
      </c>
      <c r="B12" s="127">
        <v>1645238069</v>
      </c>
      <c r="C12" s="127">
        <v>0</v>
      </c>
      <c r="D12" s="127">
        <v>32357600</v>
      </c>
      <c r="E12" s="127">
        <v>1269638986</v>
      </c>
      <c r="F12" s="127">
        <v>741146615</v>
      </c>
      <c r="G12" s="127">
        <f>SUM(B12:F12)</f>
        <v>3688381270</v>
      </c>
      <c r="H12" s="128">
        <f t="shared" si="1"/>
        <v>9.5369175688411181E-4</v>
      </c>
    </row>
    <row r="13" spans="1:14">
      <c r="A13" s="129"/>
      <c r="B13" s="130"/>
      <c r="C13" s="130"/>
      <c r="D13" s="130"/>
      <c r="E13" s="130"/>
      <c r="F13" s="130"/>
      <c r="G13" s="130"/>
      <c r="H13" s="131"/>
    </row>
    <row r="14" spans="1:14">
      <c r="A14" s="123" t="s">
        <v>19</v>
      </c>
      <c r="B14" s="124">
        <f t="shared" ref="B14:G14" si="2">+B15+B17</f>
        <v>553149389154</v>
      </c>
      <c r="C14" s="124">
        <f t="shared" si="2"/>
        <v>94438179125</v>
      </c>
      <c r="D14" s="124">
        <f t="shared" si="2"/>
        <v>31371340881</v>
      </c>
      <c r="E14" s="124">
        <f t="shared" si="2"/>
        <v>20839742982</v>
      </c>
      <c r="F14" s="124">
        <f t="shared" si="2"/>
        <v>151984791043</v>
      </c>
      <c r="G14" s="124">
        <f t="shared" si="2"/>
        <v>851783443185</v>
      </c>
      <c r="H14" s="125">
        <f t="shared" si="1"/>
        <v>0.22024264547246783</v>
      </c>
    </row>
    <row r="15" spans="1:14">
      <c r="A15" s="126" t="s">
        <v>20</v>
      </c>
      <c r="B15" s="127">
        <v>475123870606</v>
      </c>
      <c r="C15" s="127">
        <v>81819900442</v>
      </c>
      <c r="D15" s="127">
        <v>26532812153</v>
      </c>
      <c r="E15" s="127">
        <v>13362787548</v>
      </c>
      <c r="F15" s="127">
        <v>118470888291</v>
      </c>
      <c r="G15" s="127">
        <f>+B15+C15+D15+E15+F15</f>
        <v>715310259040</v>
      </c>
      <c r="H15" s="128">
        <f t="shared" si="1"/>
        <v>0.1849552548186231</v>
      </c>
    </row>
    <row r="16" spans="1:14">
      <c r="A16" s="132" t="s">
        <v>21</v>
      </c>
      <c r="B16" s="133">
        <v>134663720202</v>
      </c>
      <c r="C16" s="133">
        <v>20618826</v>
      </c>
      <c r="D16" s="133">
        <v>0</v>
      </c>
      <c r="E16" s="133">
        <v>180195289</v>
      </c>
      <c r="F16" s="133">
        <v>917812589</v>
      </c>
      <c r="G16" s="133">
        <f>+B16+C16+D16+E16+F16</f>
        <v>135782346906</v>
      </c>
      <c r="H16" s="134">
        <f t="shared" si="1"/>
        <v>3.5108763301639659E-2</v>
      </c>
    </row>
    <row r="17" spans="1:8">
      <c r="A17" s="126" t="s">
        <v>22</v>
      </c>
      <c r="B17" s="127">
        <v>78025518548</v>
      </c>
      <c r="C17" s="127">
        <v>12618278683</v>
      </c>
      <c r="D17" s="127">
        <v>4838528728</v>
      </c>
      <c r="E17" s="127">
        <v>7476955434</v>
      </c>
      <c r="F17" s="127">
        <v>33513902752</v>
      </c>
      <c r="G17" s="127">
        <f>+B17+C17+D17+E17+F17</f>
        <v>136473184145</v>
      </c>
      <c r="H17" s="128">
        <f t="shared" si="1"/>
        <v>3.528739065384473E-2</v>
      </c>
    </row>
    <row r="18" spans="1:8">
      <c r="A18" s="135"/>
      <c r="B18" s="136"/>
      <c r="C18" s="136"/>
      <c r="D18" s="136"/>
      <c r="E18" s="136"/>
      <c r="F18" s="136"/>
      <c r="G18" s="136"/>
      <c r="H18" s="137">
        <f t="shared" si="1"/>
        <v>0</v>
      </c>
    </row>
    <row r="19" spans="1:8">
      <c r="A19" s="123" t="s">
        <v>23</v>
      </c>
      <c r="B19" s="124"/>
      <c r="C19" s="124"/>
      <c r="D19" s="124"/>
      <c r="E19" s="124"/>
      <c r="F19" s="124"/>
      <c r="G19" s="124"/>
      <c r="H19" s="125">
        <f t="shared" si="1"/>
        <v>0</v>
      </c>
    </row>
    <row r="20" spans="1:8">
      <c r="A20" s="138" t="s">
        <v>24</v>
      </c>
      <c r="B20" s="139">
        <f t="shared" ref="B20:G20" si="3">+B11-B15</f>
        <v>126117951312</v>
      </c>
      <c r="C20" s="139">
        <f t="shared" si="3"/>
        <v>-56569282168</v>
      </c>
      <c r="D20" s="139">
        <f t="shared" si="3"/>
        <v>-4100714838</v>
      </c>
      <c r="E20" s="139">
        <f t="shared" si="3"/>
        <v>-6102146621</v>
      </c>
      <c r="F20" s="139">
        <f t="shared" si="3"/>
        <v>-8800356338</v>
      </c>
      <c r="G20" s="139">
        <f t="shared" si="3"/>
        <v>50545451347</v>
      </c>
      <c r="H20" s="140">
        <f>+G20/$A$41</f>
        <v>1.3069359366316494E-2</v>
      </c>
    </row>
    <row r="21" spans="1:8">
      <c r="A21" s="138" t="s">
        <v>25</v>
      </c>
      <c r="B21" s="139">
        <f t="shared" ref="B21:G21" si="4">+B12-B17</f>
        <v>-76380280479</v>
      </c>
      <c r="C21" s="139">
        <f t="shared" si="4"/>
        <v>-12618278683</v>
      </c>
      <c r="D21" s="139">
        <f t="shared" si="4"/>
        <v>-4806171128</v>
      </c>
      <c r="E21" s="139">
        <f t="shared" si="4"/>
        <v>-6207316448</v>
      </c>
      <c r="F21" s="139">
        <f t="shared" si="4"/>
        <v>-32772756137</v>
      </c>
      <c r="G21" s="139">
        <f t="shared" si="4"/>
        <v>-132784802875</v>
      </c>
      <c r="H21" s="140">
        <f t="shared" si="1"/>
        <v>-3.433369889696062E-2</v>
      </c>
    </row>
    <row r="22" spans="1:8">
      <c r="A22" s="138" t="s">
        <v>26</v>
      </c>
      <c r="B22" s="139">
        <f t="shared" ref="B22:G22" si="5">+B10-B14</f>
        <v>49737670833</v>
      </c>
      <c r="C22" s="139">
        <f t="shared" si="5"/>
        <v>-69187560851</v>
      </c>
      <c r="D22" s="139">
        <f t="shared" si="5"/>
        <v>-8906885966</v>
      </c>
      <c r="E22" s="139">
        <f t="shared" si="5"/>
        <v>-12309463069</v>
      </c>
      <c r="F22" s="139">
        <f t="shared" si="5"/>
        <v>-41573112475</v>
      </c>
      <c r="G22" s="139">
        <f t="shared" si="5"/>
        <v>-82239351528</v>
      </c>
      <c r="H22" s="140">
        <f t="shared" si="1"/>
        <v>-2.1264339530644126E-2</v>
      </c>
    </row>
    <row r="23" spans="1:8">
      <c r="A23" s="138" t="s">
        <v>27</v>
      </c>
      <c r="B23" s="139">
        <f t="shared" ref="B23:G23" si="6">+B10-(B14-B16)</f>
        <v>184401391035</v>
      </c>
      <c r="C23" s="139">
        <f t="shared" si="6"/>
        <v>-69166942025</v>
      </c>
      <c r="D23" s="139">
        <f t="shared" si="6"/>
        <v>-8906885966</v>
      </c>
      <c r="E23" s="139">
        <f t="shared" si="6"/>
        <v>-12129267780</v>
      </c>
      <c r="F23" s="139">
        <f t="shared" si="6"/>
        <v>-40655299886</v>
      </c>
      <c r="G23" s="139">
        <f t="shared" si="6"/>
        <v>53542995378</v>
      </c>
      <c r="H23" s="140">
        <f t="shared" si="1"/>
        <v>1.3844423770995535E-2</v>
      </c>
    </row>
    <row r="24" spans="1:8">
      <c r="A24" s="141"/>
      <c r="B24" s="142"/>
      <c r="C24" s="142"/>
      <c r="D24" s="142"/>
      <c r="E24" s="142"/>
      <c r="F24" s="142"/>
      <c r="G24" s="142"/>
      <c r="H24" s="143"/>
    </row>
    <row r="25" spans="1:8">
      <c r="A25" s="123" t="s">
        <v>28</v>
      </c>
      <c r="B25" s="124">
        <f t="shared" ref="B25:G25" si="7">+B26-B27</f>
        <v>100833606776</v>
      </c>
      <c r="C25" s="124">
        <f t="shared" si="7"/>
        <v>-3466931558</v>
      </c>
      <c r="D25" s="124">
        <f t="shared" si="7"/>
        <v>-2004809791</v>
      </c>
      <c r="E25" s="124">
        <f t="shared" si="7"/>
        <v>-1332506728</v>
      </c>
      <c r="F25" s="124">
        <f t="shared" si="7"/>
        <v>-11790007171</v>
      </c>
      <c r="G25" s="124">
        <f t="shared" si="7"/>
        <v>82239351528</v>
      </c>
      <c r="H25" s="125">
        <f t="shared" si="1"/>
        <v>2.1264339530644126E-2</v>
      </c>
    </row>
    <row r="26" spans="1:8">
      <c r="A26" s="126" t="s">
        <v>29</v>
      </c>
      <c r="B26" s="127">
        <v>213678280430</v>
      </c>
      <c r="C26" s="127">
        <v>0</v>
      </c>
      <c r="D26" s="127">
        <v>0</v>
      </c>
      <c r="E26" s="127">
        <v>1090484939</v>
      </c>
      <c r="F26" s="127">
        <v>703939851</v>
      </c>
      <c r="G26" s="127">
        <f>SUM(B26:F26)</f>
        <v>215472705220</v>
      </c>
      <c r="H26" s="128">
        <f t="shared" si="1"/>
        <v>5.5714018632849777E-2</v>
      </c>
    </row>
    <row r="27" spans="1:8">
      <c r="A27" s="126" t="s">
        <v>30</v>
      </c>
      <c r="B27" s="127">
        <v>112844673654</v>
      </c>
      <c r="C27" s="127">
        <v>3466931558</v>
      </c>
      <c r="D27" s="127">
        <v>2004809791</v>
      </c>
      <c r="E27" s="127">
        <v>2422991667</v>
      </c>
      <c r="F27" s="127">
        <v>12493947022</v>
      </c>
      <c r="G27" s="127">
        <f>SUM(B27:F27)</f>
        <v>133233353692</v>
      </c>
      <c r="H27" s="128">
        <f t="shared" si="1"/>
        <v>3.4449679102205651E-2</v>
      </c>
    </row>
    <row r="28" spans="1:8">
      <c r="A28" s="144"/>
      <c r="B28" s="145"/>
      <c r="C28" s="145"/>
      <c r="D28" s="145"/>
      <c r="E28" s="145"/>
      <c r="F28" s="145"/>
      <c r="G28" s="145"/>
      <c r="H28" s="207"/>
    </row>
    <row r="29" spans="1:8">
      <c r="A29" s="123" t="s">
        <v>31</v>
      </c>
      <c r="B29" s="125">
        <f>+B22/A41</f>
        <v>1.2860494403293458E-2</v>
      </c>
      <c r="C29" s="125">
        <f>+C22/A41</f>
        <v>-1.7889583975280458E-2</v>
      </c>
      <c r="D29" s="125">
        <f>+D22/A41</f>
        <v>-2.3030221399212829E-3</v>
      </c>
      <c r="E29" s="125">
        <f>+E22/A41</f>
        <v>-3.1828145197621343E-3</v>
      </c>
      <c r="F29" s="125">
        <f>+F22/A41</f>
        <v>-1.0749413298973708E-2</v>
      </c>
      <c r="G29" s="125">
        <f>+G22/A41</f>
        <v>-2.1264339530644126E-2</v>
      </c>
      <c r="H29" s="125">
        <f t="shared" si="1"/>
        <v>-5.4982453931505477E-15</v>
      </c>
    </row>
    <row r="30" spans="1:8">
      <c r="A30" s="62" t="s">
        <v>84</v>
      </c>
    </row>
    <row r="32" spans="1:8">
      <c r="B32" s="83"/>
      <c r="C32" s="83"/>
      <c r="D32" s="83"/>
      <c r="E32" s="83"/>
      <c r="F32" s="83"/>
      <c r="G32" s="83"/>
    </row>
    <row r="33" spans="1:8">
      <c r="H33" s="83"/>
    </row>
    <row r="38" spans="1:8">
      <c r="C38" s="83"/>
      <c r="D38" s="84"/>
      <c r="E38" s="84"/>
    </row>
    <row r="39" spans="1:8">
      <c r="A39" s="19">
        <v>3613147144162.04</v>
      </c>
    </row>
    <row r="41" spans="1:8">
      <c r="A41" s="19">
        <v>3867477351435.4648</v>
      </c>
    </row>
    <row r="44" spans="1:8">
      <c r="A44" s="85"/>
    </row>
  </sheetData>
  <mergeCells count="8">
    <mergeCell ref="K4:N8"/>
    <mergeCell ref="A8:H8"/>
    <mergeCell ref="A1:H1"/>
    <mergeCell ref="A2:H2"/>
    <mergeCell ref="A3:H3"/>
    <mergeCell ref="A5:H5"/>
    <mergeCell ref="A6:H6"/>
    <mergeCell ref="A7:H7"/>
  </mergeCells>
  <pageMargins left="3.937007874015748E-2" right="0" top="0.35433070866141736" bottom="0.35433070866141736" header="0.31496062992125984" footer="0.31496062992125984"/>
  <pageSetup scale="58" orientation="landscape" horizontalDpi="4294967295" verticalDpi="4294967295" r:id="rId1"/>
  <ignoredErrors>
    <ignoredError sqref="C29 F29 E29 D29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showGridLines="0" zoomScaleNormal="100" workbookViewId="0">
      <selection activeCell="F26" sqref="F26"/>
    </sheetView>
  </sheetViews>
  <sheetFormatPr baseColWidth="10" defaultColWidth="11.42578125" defaultRowHeight="15"/>
  <cols>
    <col min="1" max="1" width="22.5703125" style="19" customWidth="1"/>
    <col min="2" max="2" width="40" customWidth="1"/>
    <col min="3" max="3" width="27.42578125" style="19" customWidth="1"/>
    <col min="4" max="4" width="31.85546875" customWidth="1"/>
    <col min="5" max="5" width="49.140625" customWidth="1"/>
    <col min="6" max="6" width="17.85546875" bestFit="1" customWidth="1"/>
    <col min="7" max="7" width="19.7109375" customWidth="1"/>
    <col min="8" max="8" width="14" customWidth="1"/>
    <col min="9" max="9" width="15.140625" bestFit="1" customWidth="1"/>
    <col min="10" max="10" width="13.140625" customWidth="1"/>
    <col min="11" max="11" width="15.140625" bestFit="1" customWidth="1"/>
  </cols>
  <sheetData>
    <row r="1" spans="2:12" s="19" customFormat="1">
      <c r="B1" s="19" t="s">
        <v>145</v>
      </c>
      <c r="C1" s="19" t="s">
        <v>144</v>
      </c>
      <c r="D1" s="87" t="s">
        <v>117</v>
      </c>
      <c r="E1" s="87" t="s">
        <v>118</v>
      </c>
    </row>
    <row r="2" spans="2:12">
      <c r="B2" s="88" t="s">
        <v>13</v>
      </c>
      <c r="C2" s="19" t="s">
        <v>140</v>
      </c>
      <c r="D2" s="86">
        <f>+'11. CAIF Form. Consolidada '!B11/1000000</f>
        <v>601241.821918</v>
      </c>
      <c r="E2" s="86">
        <f>+'10. CAIF Ejec. Consolidada'!B11/1000000</f>
        <v>601291.49759397283</v>
      </c>
      <c r="L2" s="86">
        <v>25817.636069</v>
      </c>
    </row>
    <row r="3" spans="2:12">
      <c r="B3" s="88" t="s">
        <v>13</v>
      </c>
      <c r="C3" s="19" t="s">
        <v>146</v>
      </c>
      <c r="D3" s="86">
        <f>+'11. CAIF Form. Consolidada '!B12/1000000</f>
        <v>1645.238069</v>
      </c>
      <c r="E3" s="86">
        <f>+'10. CAIF Ejec. Consolidada'!B12/1000000</f>
        <v>2807.2527026300013</v>
      </c>
      <c r="L3" s="86">
        <v>0.83950000000000002</v>
      </c>
    </row>
    <row r="4" spans="2:12" s="19" customFormat="1">
      <c r="B4" s="88"/>
      <c r="D4" s="86"/>
      <c r="E4" s="86"/>
      <c r="L4" s="86"/>
    </row>
    <row r="5" spans="2:12" s="19" customFormat="1">
      <c r="D5" s="86"/>
      <c r="E5" s="86"/>
      <c r="L5" s="86"/>
    </row>
    <row r="6" spans="2:12" s="19" customFormat="1">
      <c r="D6" s="86"/>
      <c r="E6" s="86"/>
      <c r="L6" s="86"/>
    </row>
    <row r="7" spans="2:12" s="19" customFormat="1">
      <c r="D7" s="86"/>
      <c r="E7" s="86"/>
      <c r="L7" s="86"/>
    </row>
    <row r="21" spans="2:12" s="19" customFormat="1">
      <c r="D21" s="86"/>
      <c r="E21" s="86"/>
      <c r="L21" s="86"/>
    </row>
    <row r="22" spans="2:12" s="19" customFormat="1">
      <c r="D22" s="86"/>
      <c r="E22" s="86"/>
      <c r="L22" s="86"/>
    </row>
    <row r="23" spans="2:12" s="19" customFormat="1">
      <c r="B23" s="19" t="s">
        <v>145</v>
      </c>
      <c r="C23" s="19" t="s">
        <v>144</v>
      </c>
      <c r="D23" s="87" t="s">
        <v>117</v>
      </c>
      <c r="E23" s="87" t="s">
        <v>118</v>
      </c>
      <c r="L23" s="86"/>
    </row>
    <row r="24" spans="2:12">
      <c r="B24" t="s">
        <v>141</v>
      </c>
      <c r="C24" s="19" t="s">
        <v>140</v>
      </c>
      <c r="D24" s="86">
        <f>+'11. CAIF Form. Consolidada '!C11/1000000</f>
        <v>25250.618274</v>
      </c>
      <c r="E24" s="86">
        <f>+'10. CAIF Ejec. Consolidada'!C11/1000000</f>
        <v>7565.286748499987</v>
      </c>
    </row>
    <row r="25" spans="2:12">
      <c r="C25" s="19" t="s">
        <v>146</v>
      </c>
      <c r="D25" s="86">
        <f>+'11. CAIF Form. Consolidada '!C12/1000000</f>
        <v>0</v>
      </c>
      <c r="E25" s="86">
        <f>+'10. CAIF Ejec. Consolidada'!C12/1000000</f>
        <v>548.8312238199992</v>
      </c>
    </row>
    <row r="26" spans="2:12" s="19" customFormat="1">
      <c r="D26" s="86"/>
      <c r="E26" s="86"/>
    </row>
    <row r="27" spans="2:12" s="19" customFormat="1">
      <c r="D27" s="86"/>
      <c r="E27" s="86"/>
    </row>
    <row r="28" spans="2:12" s="19" customFormat="1">
      <c r="D28" s="86"/>
      <c r="E28" s="86"/>
    </row>
    <row r="29" spans="2:12" s="19" customFormat="1">
      <c r="D29" s="86"/>
      <c r="E29" s="86"/>
    </row>
    <row r="30" spans="2:12" s="19" customFormat="1">
      <c r="D30" s="86"/>
      <c r="E30" s="86"/>
    </row>
    <row r="31" spans="2:12" s="19" customFormat="1">
      <c r="D31" s="86"/>
      <c r="E31" s="86"/>
    </row>
    <row r="32" spans="2:12" s="19" customFormat="1">
      <c r="D32" s="86"/>
      <c r="E32" s="86"/>
    </row>
    <row r="33" spans="2:5" s="19" customFormat="1">
      <c r="D33" s="86"/>
      <c r="E33" s="86"/>
    </row>
    <row r="34" spans="2:5" s="19" customFormat="1">
      <c r="D34" s="86"/>
      <c r="E34" s="86"/>
    </row>
    <row r="35" spans="2:5" s="19" customFormat="1">
      <c r="D35" s="86"/>
      <c r="E35" s="86"/>
    </row>
    <row r="36" spans="2:5" s="19" customFormat="1">
      <c r="D36" s="86"/>
      <c r="E36" s="86"/>
    </row>
    <row r="37" spans="2:5" s="19" customFormat="1">
      <c r="D37" s="86"/>
      <c r="E37" s="86"/>
    </row>
    <row r="38" spans="2:5" s="19" customFormat="1">
      <c r="D38" s="86"/>
      <c r="E38" s="86"/>
    </row>
    <row r="39" spans="2:5" s="19" customFormat="1">
      <c r="D39" s="86"/>
      <c r="E39" s="86"/>
    </row>
    <row r="40" spans="2:5" s="19" customFormat="1">
      <c r="D40" s="86"/>
      <c r="E40" s="86"/>
    </row>
    <row r="41" spans="2:5" s="19" customFormat="1">
      <c r="D41" s="86"/>
      <c r="E41" s="86"/>
    </row>
    <row r="42" spans="2:5" s="19" customFormat="1">
      <c r="D42" s="86"/>
      <c r="E42" s="86"/>
    </row>
    <row r="43" spans="2:5" s="19" customFormat="1">
      <c r="B43" s="19" t="s">
        <v>145</v>
      </c>
      <c r="C43" s="19" t="s">
        <v>144</v>
      </c>
      <c r="D43" s="87" t="s">
        <v>117</v>
      </c>
      <c r="E43" s="87" t="s">
        <v>118</v>
      </c>
    </row>
    <row r="44" spans="2:5">
      <c r="B44" t="s">
        <v>142</v>
      </c>
      <c r="C44" s="19" t="s">
        <v>140</v>
      </c>
      <c r="D44" s="86">
        <f>+'11. CAIF Form. Consolidada '!D11/1000000</f>
        <v>22432.097314999999</v>
      </c>
      <c r="E44" s="86">
        <f>+'10. CAIF Ejec. Consolidada'!D11/1000000</f>
        <v>379.24419594001159</v>
      </c>
    </row>
    <row r="45" spans="2:5">
      <c r="C45" s="19" t="s">
        <v>146</v>
      </c>
      <c r="D45" s="86">
        <f>+'11. CAIF Form. Consolidada '!D12/1000000</f>
        <v>32.357599999999998</v>
      </c>
      <c r="E45" s="86">
        <f>+'10. CAIF Ejec. Consolidada'!D12/1000000</f>
        <v>0</v>
      </c>
    </row>
    <row r="46" spans="2:5" s="19" customFormat="1">
      <c r="D46" s="86"/>
      <c r="E46" s="86"/>
    </row>
    <row r="47" spans="2:5" s="19" customFormat="1">
      <c r="D47" s="86"/>
      <c r="E47" s="86"/>
    </row>
    <row r="48" spans="2:5" s="19" customFormat="1">
      <c r="D48" s="86"/>
      <c r="E48" s="86"/>
    </row>
    <row r="49" spans="2:5" s="19" customFormat="1">
      <c r="D49" s="86"/>
      <c r="E49" s="86"/>
    </row>
    <row r="50" spans="2:5" s="19" customFormat="1">
      <c r="D50" s="86"/>
      <c r="E50" s="86"/>
    </row>
    <row r="51" spans="2:5" s="19" customFormat="1">
      <c r="D51" s="86"/>
      <c r="E51" s="86"/>
    </row>
    <row r="52" spans="2:5" s="19" customFormat="1">
      <c r="D52" s="86"/>
      <c r="E52" s="86"/>
    </row>
    <row r="53" spans="2:5" s="19" customFormat="1">
      <c r="D53" s="86"/>
      <c r="E53" s="86"/>
    </row>
    <row r="54" spans="2:5" s="19" customFormat="1">
      <c r="D54" s="86"/>
      <c r="E54" s="86"/>
    </row>
    <row r="55" spans="2:5" s="19" customFormat="1">
      <c r="D55" s="86"/>
      <c r="E55" s="86"/>
    </row>
    <row r="56" spans="2:5" s="19" customFormat="1">
      <c r="D56" s="86"/>
      <c r="E56" s="86"/>
    </row>
    <row r="57" spans="2:5" s="19" customFormat="1">
      <c r="D57" s="86"/>
      <c r="E57" s="86"/>
    </row>
    <row r="58" spans="2:5" s="19" customFormat="1">
      <c r="D58" s="86"/>
      <c r="E58" s="86"/>
    </row>
    <row r="59" spans="2:5" s="19" customFormat="1">
      <c r="D59" s="86"/>
      <c r="E59" s="86"/>
    </row>
    <row r="60" spans="2:5" s="19" customFormat="1">
      <c r="D60" s="86"/>
      <c r="E60" s="86"/>
    </row>
    <row r="61" spans="2:5" s="19" customFormat="1">
      <c r="D61" s="86"/>
      <c r="E61" s="86"/>
    </row>
    <row r="62" spans="2:5" s="19" customFormat="1">
      <c r="B62" s="19" t="s">
        <v>145</v>
      </c>
      <c r="C62" s="19" t="s">
        <v>144</v>
      </c>
      <c r="D62" s="87" t="s">
        <v>117</v>
      </c>
      <c r="E62" s="87" t="s">
        <v>118</v>
      </c>
    </row>
    <row r="63" spans="2:5">
      <c r="B63" t="s">
        <v>143</v>
      </c>
      <c r="C63" s="19" t="s">
        <v>140</v>
      </c>
      <c r="D63" s="86">
        <f>+'11. CAIF Form. Consolidada '!E11/1000000</f>
        <v>7260.6409270000004</v>
      </c>
      <c r="E63" s="86">
        <f>+'10. CAIF Ejec. Consolidada'!E11/1000000</f>
        <v>4846.9216370000004</v>
      </c>
    </row>
    <row r="64" spans="2:5">
      <c r="C64" s="19" t="s">
        <v>146</v>
      </c>
      <c r="D64" s="86">
        <f>+'11. CAIF Form. Consolidada '!E12/1000000</f>
        <v>1269.6389859999999</v>
      </c>
      <c r="E64" s="86">
        <f>+'10. CAIF Ejec. Consolidada'!E12/1000000</f>
        <v>429.42554200000001</v>
      </c>
    </row>
    <row r="65" spans="4:4">
      <c r="D65" s="89"/>
    </row>
    <row r="81" spans="2:4">
      <c r="B81" t="s">
        <v>13</v>
      </c>
    </row>
    <row r="82" spans="2:4">
      <c r="B82" s="19" t="s">
        <v>144</v>
      </c>
      <c r="C82" s="87" t="s">
        <v>117</v>
      </c>
      <c r="D82" s="87" t="s">
        <v>118</v>
      </c>
    </row>
    <row r="83" spans="2:4">
      <c r="B83" s="19" t="s">
        <v>147</v>
      </c>
      <c r="C83" s="50">
        <v>425408941582</v>
      </c>
      <c r="D83" s="50">
        <v>442278058375.42322</v>
      </c>
    </row>
    <row r="84" spans="2:4">
      <c r="B84" s="19" t="s">
        <v>148</v>
      </c>
      <c r="C84" s="50">
        <v>67412953193</v>
      </c>
      <c r="D84" s="50">
        <v>125420999298.33014</v>
      </c>
    </row>
    <row r="103" spans="2:4">
      <c r="B103" s="19" t="s">
        <v>141</v>
      </c>
    </row>
    <row r="104" spans="2:4">
      <c r="B104" s="19" t="s">
        <v>144</v>
      </c>
      <c r="C104" s="87" t="s">
        <v>117</v>
      </c>
      <c r="D104" s="87" t="s">
        <v>118</v>
      </c>
    </row>
    <row r="105" spans="2:4">
      <c r="B105" s="19" t="s">
        <v>147</v>
      </c>
      <c r="C105" s="50">
        <v>68604727393</v>
      </c>
      <c r="D105" s="50">
        <v>42580148543.920052</v>
      </c>
    </row>
    <row r="106" spans="2:4">
      <c r="B106" s="19" t="s">
        <v>148</v>
      </c>
      <c r="C106" s="50">
        <v>9936108934</v>
      </c>
      <c r="D106" s="50">
        <v>2636701066.0099993</v>
      </c>
    </row>
    <row r="125" spans="2:4">
      <c r="B125" t="s">
        <v>149</v>
      </c>
    </row>
    <row r="126" spans="2:4">
      <c r="B126" s="19" t="s">
        <v>144</v>
      </c>
      <c r="C126" s="87" t="s">
        <v>117</v>
      </c>
      <c r="D126" s="87" t="s">
        <v>118</v>
      </c>
    </row>
    <row r="127" spans="2:4">
      <c r="B127" s="19" t="s">
        <v>147</v>
      </c>
      <c r="C127" s="50">
        <v>25629040024</v>
      </c>
      <c r="D127" s="50">
        <v>10592102934.150003</v>
      </c>
    </row>
    <row r="128" spans="2:4">
      <c r="B128" s="19" t="s">
        <v>148</v>
      </c>
      <c r="C128" s="50">
        <v>4733790109</v>
      </c>
      <c r="D128" s="50">
        <v>77566222.160000011</v>
      </c>
    </row>
    <row r="147" spans="2:4">
      <c r="B147" t="s">
        <v>150</v>
      </c>
    </row>
    <row r="148" spans="2:4">
      <c r="B148" t="s">
        <v>144</v>
      </c>
      <c r="C148" s="19" t="s">
        <v>117</v>
      </c>
      <c r="D148" t="s">
        <v>118</v>
      </c>
    </row>
    <row r="149" spans="2:4">
      <c r="B149" t="s">
        <v>147</v>
      </c>
      <c r="C149" s="50">
        <v>11392711507</v>
      </c>
      <c r="D149" s="50">
        <v>8650133843</v>
      </c>
    </row>
    <row r="150" spans="2:4">
      <c r="B150" t="s">
        <v>148</v>
      </c>
      <c r="C150" s="50">
        <v>6300932506</v>
      </c>
      <c r="D150" s="50">
        <v>2429634673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Normal="100" workbookViewId="0">
      <selection activeCell="J27" sqref="J27"/>
    </sheetView>
  </sheetViews>
  <sheetFormatPr baseColWidth="10" defaultColWidth="11.42578125" defaultRowHeight="15"/>
  <cols>
    <col min="1" max="1" width="55.5703125" customWidth="1"/>
    <col min="2" max="2" width="11.7109375" style="19" customWidth="1"/>
    <col min="3" max="3" width="18.7109375" style="19" customWidth="1"/>
    <col min="4" max="4" width="11" style="19" customWidth="1"/>
    <col min="5" max="5" width="13" style="19" customWidth="1"/>
    <col min="6" max="6" width="12.28515625" style="19" customWidth="1"/>
    <col min="7" max="7" width="12.5703125" customWidth="1"/>
  </cols>
  <sheetData>
    <row r="1" spans="1:7" ht="28.5" customHeight="1">
      <c r="A1" s="245" t="s">
        <v>0</v>
      </c>
      <c r="B1" s="246"/>
      <c r="C1" s="246"/>
      <c r="D1" s="246"/>
      <c r="E1" s="246"/>
      <c r="F1" s="246"/>
      <c r="G1" s="246"/>
    </row>
    <row r="2" spans="1:7" ht="21">
      <c r="A2" s="247" t="s">
        <v>1</v>
      </c>
      <c r="B2" s="248"/>
      <c r="C2" s="248"/>
      <c r="D2" s="248"/>
      <c r="E2" s="248"/>
      <c r="F2" s="248"/>
      <c r="G2" s="248"/>
    </row>
    <row r="3" spans="1:7" ht="15.75" customHeight="1">
      <c r="A3" s="280" t="s">
        <v>10</v>
      </c>
      <c r="B3" s="281"/>
      <c r="C3" s="281"/>
      <c r="D3" s="281"/>
      <c r="E3" s="281"/>
      <c r="F3" s="281"/>
      <c r="G3" s="281"/>
    </row>
    <row r="4" spans="1:7">
      <c r="A4" s="19"/>
      <c r="G4" s="19"/>
    </row>
    <row r="5" spans="1:7" ht="18.75">
      <c r="A5" s="301" t="s">
        <v>187</v>
      </c>
      <c r="B5" s="301"/>
      <c r="C5" s="301"/>
      <c r="D5" s="301"/>
      <c r="E5" s="301"/>
      <c r="F5" s="301"/>
      <c r="G5" s="301"/>
    </row>
    <row r="6" spans="1:7" ht="18.75" customHeight="1">
      <c r="A6" s="301" t="s">
        <v>112</v>
      </c>
      <c r="B6" s="301"/>
      <c r="C6" s="301"/>
      <c r="D6" s="301"/>
      <c r="E6" s="301"/>
      <c r="F6" s="301"/>
      <c r="G6" s="301"/>
    </row>
    <row r="7" spans="1:7" s="19" customFormat="1" ht="18.75">
      <c r="A7" s="301" t="s">
        <v>196</v>
      </c>
      <c r="B7" s="301"/>
      <c r="C7" s="301"/>
      <c r="D7" s="301"/>
      <c r="E7" s="301"/>
      <c r="F7" s="301"/>
      <c r="G7" s="301"/>
    </row>
    <row r="8" spans="1:7" ht="15" customHeight="1">
      <c r="A8" s="321" t="s">
        <v>12</v>
      </c>
      <c r="B8" s="321"/>
      <c r="C8" s="321"/>
      <c r="D8" s="321"/>
      <c r="E8" s="321"/>
      <c r="F8" s="321"/>
      <c r="G8" s="321"/>
    </row>
    <row r="9" spans="1:7" ht="38.25">
      <c r="A9" s="191" t="s">
        <v>85</v>
      </c>
      <c r="B9" s="191" t="s">
        <v>13</v>
      </c>
      <c r="C9" s="191" t="s">
        <v>177</v>
      </c>
      <c r="D9" s="191" t="s">
        <v>178</v>
      </c>
      <c r="E9" s="191" t="s">
        <v>41</v>
      </c>
      <c r="F9" s="191" t="s">
        <v>14</v>
      </c>
      <c r="G9" s="191" t="s">
        <v>15</v>
      </c>
    </row>
    <row r="10" spans="1:7">
      <c r="A10" s="126" t="s">
        <v>86</v>
      </c>
      <c r="B10" s="211">
        <f>SUM(B11:B14)</f>
        <v>102033301013.35202</v>
      </c>
      <c r="C10" s="211">
        <f>SUM(C11:C14)</f>
        <v>3612116578.9299998</v>
      </c>
      <c r="D10" s="211">
        <f>SUM(D11:D14)</f>
        <v>1144690.67</v>
      </c>
      <c r="E10" s="211">
        <f>SUM(E11:E14)</f>
        <v>6024894779</v>
      </c>
      <c r="F10" s="211">
        <f>SUM(F11:F14)</f>
        <v>112205768.91</v>
      </c>
      <c r="G10" s="211">
        <f>+B10+C10+D10+E10+F10</f>
        <v>111783662830.86201</v>
      </c>
    </row>
    <row r="11" spans="1:7">
      <c r="A11" s="208" t="s">
        <v>87</v>
      </c>
      <c r="B11" s="212">
        <v>38298171928.591919</v>
      </c>
      <c r="C11" s="212">
        <v>2899166022.5999999</v>
      </c>
      <c r="D11" s="213">
        <v>0</v>
      </c>
      <c r="E11" s="212">
        <v>5545589855</v>
      </c>
      <c r="F11" s="212">
        <v>100983741.8</v>
      </c>
      <c r="G11" s="212">
        <f>+B11+C11+D11+E11+F11</f>
        <v>46843911547.99192</v>
      </c>
    </row>
    <row r="12" spans="1:7">
      <c r="A12" s="208" t="s">
        <v>88</v>
      </c>
      <c r="B12" s="212">
        <v>8797997442.7499866</v>
      </c>
      <c r="C12" s="212">
        <v>5080143.080000001</v>
      </c>
      <c r="D12" s="212">
        <v>1144690.67</v>
      </c>
      <c r="E12" s="213">
        <v>0</v>
      </c>
      <c r="F12" s="212">
        <v>11222027.109999999</v>
      </c>
      <c r="G12" s="212">
        <f>+B12+C12+D12+E12+F12</f>
        <v>8815444303.6099873</v>
      </c>
    </row>
    <row r="13" spans="1:7">
      <c r="A13" s="208" t="s">
        <v>89</v>
      </c>
      <c r="B13" s="212">
        <v>23499836511.320015</v>
      </c>
      <c r="C13" s="212">
        <v>177374711.91000032</v>
      </c>
      <c r="D13" s="213">
        <v>0</v>
      </c>
      <c r="E13" s="212">
        <v>1192285</v>
      </c>
      <c r="F13" s="213">
        <v>0</v>
      </c>
      <c r="G13" s="212">
        <f>+B13+C13+D13+E13+F13</f>
        <v>23678403508.230015</v>
      </c>
    </row>
    <row r="14" spans="1:7">
      <c r="A14" s="208" t="s">
        <v>90</v>
      </c>
      <c r="B14" s="212">
        <v>31437295130.69009</v>
      </c>
      <c r="C14" s="212">
        <v>530495701.33999979</v>
      </c>
      <c r="D14" s="213">
        <v>0</v>
      </c>
      <c r="E14" s="212">
        <v>478112639</v>
      </c>
      <c r="F14" s="213">
        <v>0</v>
      </c>
      <c r="G14" s="212">
        <f>+B14+C14+D14+E14+F14</f>
        <v>32445903471.03009</v>
      </c>
    </row>
    <row r="15" spans="1:7">
      <c r="A15" s="126" t="s">
        <v>91</v>
      </c>
      <c r="B15" s="211">
        <f t="shared" ref="B15:G15" si="0">SUM(B16:B24)</f>
        <v>50737320018.990013</v>
      </c>
      <c r="C15" s="211">
        <f t="shared" si="0"/>
        <v>15059962321.59</v>
      </c>
      <c r="D15" s="211">
        <f t="shared" si="0"/>
        <v>0</v>
      </c>
      <c r="E15" s="211">
        <f t="shared" si="0"/>
        <v>3033536480</v>
      </c>
      <c r="F15" s="211">
        <f t="shared" si="0"/>
        <v>100664556989.37993</v>
      </c>
      <c r="G15" s="211">
        <f t="shared" si="0"/>
        <v>169495375809.95996</v>
      </c>
    </row>
    <row r="16" spans="1:7">
      <c r="A16" s="208" t="s">
        <v>92</v>
      </c>
      <c r="B16" s="212">
        <v>5289979394.8500347</v>
      </c>
      <c r="C16" s="212">
        <v>1888576624.070003</v>
      </c>
      <c r="D16" s="213">
        <v>0</v>
      </c>
      <c r="E16" s="212">
        <v>732808230</v>
      </c>
      <c r="F16" s="212">
        <v>191235567</v>
      </c>
      <c r="G16" s="212">
        <f t="shared" ref="G16:G24" si="1">+B16+C16+D16+E16+F16</f>
        <v>8102599815.9200382</v>
      </c>
    </row>
    <row r="17" spans="1:7">
      <c r="A17" s="208" t="s">
        <v>93</v>
      </c>
      <c r="B17" s="212">
        <v>6308011547.0699711</v>
      </c>
      <c r="C17" s="212">
        <v>2711335457.0499969</v>
      </c>
      <c r="D17" s="213">
        <v>0</v>
      </c>
      <c r="E17" s="212">
        <v>213496</v>
      </c>
      <c r="F17" s="212">
        <v>2977451033.5599999</v>
      </c>
      <c r="G17" s="212">
        <f t="shared" si="1"/>
        <v>11997011533.679968</v>
      </c>
    </row>
    <row r="18" spans="1:7">
      <c r="A18" s="208" t="s">
        <v>94</v>
      </c>
      <c r="B18" s="212">
        <v>172488461.38999987</v>
      </c>
      <c r="C18" s="212">
        <v>3831795196.2700014</v>
      </c>
      <c r="D18" s="213">
        <v>0</v>
      </c>
      <c r="E18" s="213">
        <v>0</v>
      </c>
      <c r="F18" s="213">
        <v>0</v>
      </c>
      <c r="G18" s="212">
        <f t="shared" si="1"/>
        <v>4004283657.6600013</v>
      </c>
    </row>
    <row r="19" spans="1:7">
      <c r="A19" s="208" t="s">
        <v>95</v>
      </c>
      <c r="B19" s="212">
        <v>465986126.30999702</v>
      </c>
      <c r="C19" s="212">
        <v>646276820.15999889</v>
      </c>
      <c r="D19" s="213">
        <v>0</v>
      </c>
      <c r="E19" s="212">
        <v>39754765</v>
      </c>
      <c r="F19" s="212">
        <v>96178742645.309937</v>
      </c>
      <c r="G19" s="212">
        <f t="shared" si="1"/>
        <v>97330760356.779938</v>
      </c>
    </row>
    <row r="20" spans="1:7">
      <c r="A20" s="208" t="s">
        <v>96</v>
      </c>
      <c r="B20" s="212">
        <v>368596430.88999945</v>
      </c>
      <c r="C20" s="213">
        <v>0</v>
      </c>
      <c r="D20" s="213">
        <v>0</v>
      </c>
      <c r="E20" s="212">
        <v>1088217910</v>
      </c>
      <c r="F20" s="213">
        <v>0</v>
      </c>
      <c r="G20" s="212">
        <f t="shared" si="1"/>
        <v>1456814340.8899994</v>
      </c>
    </row>
    <row r="21" spans="1:7">
      <c r="A21" s="208" t="s">
        <v>97</v>
      </c>
      <c r="B21" s="212">
        <v>31221456574.600018</v>
      </c>
      <c r="C21" s="212">
        <v>5249468941.5800009</v>
      </c>
      <c r="D21" s="213">
        <v>0</v>
      </c>
      <c r="E21" s="212">
        <v>1172370404</v>
      </c>
      <c r="F21" s="212">
        <v>887925831</v>
      </c>
      <c r="G21" s="212">
        <f t="shared" si="1"/>
        <v>38531221751.180016</v>
      </c>
    </row>
    <row r="22" spans="1:7">
      <c r="A22" s="208" t="s">
        <v>98</v>
      </c>
      <c r="B22" s="212">
        <v>902249165.08999908</v>
      </c>
      <c r="C22" s="213">
        <v>0</v>
      </c>
      <c r="D22" s="213">
        <v>0</v>
      </c>
      <c r="E22" s="213">
        <v>0</v>
      </c>
      <c r="F22" s="212">
        <v>327660611.97999972</v>
      </c>
      <c r="G22" s="212">
        <f t="shared" si="1"/>
        <v>1229909777.0699987</v>
      </c>
    </row>
    <row r="23" spans="1:7">
      <c r="A23" s="208" t="s">
        <v>99</v>
      </c>
      <c r="B23" s="212">
        <v>7.152557373046875E-7</v>
      </c>
      <c r="C23" s="212">
        <v>579063879.89999914</v>
      </c>
      <c r="D23" s="213">
        <v>0</v>
      </c>
      <c r="E23" s="213">
        <v>0</v>
      </c>
      <c r="F23" s="213">
        <v>0</v>
      </c>
      <c r="G23" s="212">
        <f t="shared" si="1"/>
        <v>579063879.89999986</v>
      </c>
    </row>
    <row r="24" spans="1:7">
      <c r="A24" s="208" t="s">
        <v>100</v>
      </c>
      <c r="B24" s="212">
        <v>6008552318.79</v>
      </c>
      <c r="C24" s="212">
        <v>153445402.5600003</v>
      </c>
      <c r="D24" s="213">
        <v>0</v>
      </c>
      <c r="E24" s="212">
        <v>171675</v>
      </c>
      <c r="F24" s="212">
        <v>101541300.53000002</v>
      </c>
      <c r="G24" s="212">
        <f t="shared" si="1"/>
        <v>6263710696.8800001</v>
      </c>
    </row>
    <row r="25" spans="1:7">
      <c r="A25" s="126" t="s">
        <v>101</v>
      </c>
      <c r="B25" s="211">
        <f t="shared" ref="B25:G25" si="2">SUM(B26:B27)</f>
        <v>3866511383.869988</v>
      </c>
      <c r="C25" s="211">
        <f t="shared" si="2"/>
        <v>308913747.1899997</v>
      </c>
      <c r="D25" s="211">
        <f t="shared" si="2"/>
        <v>0</v>
      </c>
      <c r="E25" s="211">
        <f t="shared" si="2"/>
        <v>4898707421</v>
      </c>
      <c r="F25" s="211">
        <f t="shared" si="2"/>
        <v>7390813516.4999981</v>
      </c>
      <c r="G25" s="211">
        <f t="shared" si="2"/>
        <v>16464946068.559986</v>
      </c>
    </row>
    <row r="26" spans="1:7">
      <c r="A26" s="208" t="s">
        <v>102</v>
      </c>
      <c r="B26" s="212">
        <v>1435259433.840003</v>
      </c>
      <c r="C26" s="212">
        <v>5089275.8500000015</v>
      </c>
      <c r="D26" s="213">
        <v>0</v>
      </c>
      <c r="E26" s="212">
        <v>326034315</v>
      </c>
      <c r="F26" s="212">
        <v>7390813516.4999981</v>
      </c>
      <c r="G26" s="212">
        <f>+B26+C26+D26+E26+F26</f>
        <v>9157196541.1900005</v>
      </c>
    </row>
    <row r="27" spans="1:7">
      <c r="A27" s="208" t="s">
        <v>103</v>
      </c>
      <c r="B27" s="212">
        <v>2431251950.029985</v>
      </c>
      <c r="C27" s="212">
        <v>303824471.33999968</v>
      </c>
      <c r="D27" s="213">
        <v>0</v>
      </c>
      <c r="E27" s="212">
        <v>4572673106</v>
      </c>
      <c r="F27" s="213">
        <v>0</v>
      </c>
      <c r="G27" s="212">
        <f>+B27+C27+D27+E27+F27</f>
        <v>7307749527.3699846</v>
      </c>
    </row>
    <row r="28" spans="1:7">
      <c r="A28" s="126" t="s">
        <v>104</v>
      </c>
      <c r="B28" s="211">
        <f t="shared" ref="B28:G28" si="3">SUM(B29:B33)</f>
        <v>257274117219.47986</v>
      </c>
      <c r="C28" s="211">
        <f t="shared" si="3"/>
        <v>35477864811.089981</v>
      </c>
      <c r="D28" s="211">
        <f t="shared" si="3"/>
        <v>11024799108.289988</v>
      </c>
      <c r="E28" s="211">
        <f t="shared" si="3"/>
        <v>2158316480</v>
      </c>
      <c r="F28" s="211">
        <f t="shared" si="3"/>
        <v>10532783018.819996</v>
      </c>
      <c r="G28" s="211">
        <f t="shared" si="3"/>
        <v>316467880637.67981</v>
      </c>
    </row>
    <row r="29" spans="1:7">
      <c r="A29" s="208" t="s">
        <v>105</v>
      </c>
      <c r="B29" s="212">
        <v>628759426.69999266</v>
      </c>
      <c r="C29" s="213">
        <v>0</v>
      </c>
      <c r="D29" s="213">
        <v>0</v>
      </c>
      <c r="E29" s="212">
        <v>353536409</v>
      </c>
      <c r="F29" s="212">
        <v>7828583019.5399971</v>
      </c>
      <c r="G29" s="212">
        <f>+B29+C29+D29+E29+F29</f>
        <v>8810878855.2399902</v>
      </c>
    </row>
    <row r="30" spans="1:7">
      <c r="A30" s="208" t="s">
        <v>106</v>
      </c>
      <c r="B30" s="212">
        <v>25898374449.759819</v>
      </c>
      <c r="C30" s="212">
        <v>34087956575.889984</v>
      </c>
      <c r="D30" s="212">
        <v>363635567.41000026</v>
      </c>
      <c r="E30" s="212">
        <v>103454611</v>
      </c>
      <c r="F30" s="213">
        <v>0</v>
      </c>
      <c r="G30" s="212">
        <f>+B30+C30+D30+E30+F30</f>
        <v>60453421204.059807</v>
      </c>
    </row>
    <row r="31" spans="1:7">
      <c r="A31" s="208" t="s">
        <v>107</v>
      </c>
      <c r="B31" s="212">
        <v>6767679213.2400036</v>
      </c>
      <c r="C31" s="212">
        <v>333433468.91999954</v>
      </c>
      <c r="D31" s="213">
        <v>0</v>
      </c>
      <c r="E31" s="212">
        <v>760512918</v>
      </c>
      <c r="F31" s="212">
        <v>250729395.80000001</v>
      </c>
      <c r="G31" s="212">
        <f>+B31+C31+D31+E31+F31</f>
        <v>8112354995.9600029</v>
      </c>
    </row>
    <row r="32" spans="1:7">
      <c r="A32" s="208" t="s">
        <v>108</v>
      </c>
      <c r="B32" s="212">
        <v>165443934400.05005</v>
      </c>
      <c r="C32" s="212">
        <v>893115</v>
      </c>
      <c r="D32" s="213">
        <v>0</v>
      </c>
      <c r="E32" s="212">
        <v>183724492</v>
      </c>
      <c r="F32" s="212">
        <v>195496670.36000001</v>
      </c>
      <c r="G32" s="212">
        <f>+B32+C32+D32+E32+F32</f>
        <v>165824048677.41003</v>
      </c>
    </row>
    <row r="33" spans="1:7">
      <c r="A33" s="208" t="s">
        <v>109</v>
      </c>
      <c r="B33" s="212">
        <v>58535369729.729973</v>
      </c>
      <c r="C33" s="212">
        <v>1055581651.2799989</v>
      </c>
      <c r="D33" s="212">
        <v>10661163540.879988</v>
      </c>
      <c r="E33" s="212">
        <v>757088050</v>
      </c>
      <c r="F33" s="212">
        <v>2257973933.1199999</v>
      </c>
      <c r="G33" s="212">
        <f>+B33+C33+D33+E33+F33</f>
        <v>73267176905.009949</v>
      </c>
    </row>
    <row r="34" spans="1:7">
      <c r="A34" s="126" t="s">
        <v>110</v>
      </c>
      <c r="B34" s="211">
        <f t="shared" ref="B34:G34" si="4">+B35</f>
        <v>131164725722.72006</v>
      </c>
      <c r="C34" s="211">
        <f t="shared" si="4"/>
        <v>338276.90999999992</v>
      </c>
      <c r="D34" s="211">
        <f t="shared" si="4"/>
        <v>0</v>
      </c>
      <c r="E34" s="211">
        <f t="shared" si="4"/>
        <v>141303537</v>
      </c>
      <c r="F34" s="211">
        <f t="shared" si="4"/>
        <v>0</v>
      </c>
      <c r="G34" s="211">
        <f t="shared" si="4"/>
        <v>131306367536.63007</v>
      </c>
    </row>
    <row r="35" spans="1:7">
      <c r="A35" s="208" t="s">
        <v>111</v>
      </c>
      <c r="B35" s="212">
        <v>131164725722.72006</v>
      </c>
      <c r="C35" s="212">
        <v>338276.90999999992</v>
      </c>
      <c r="D35" s="213">
        <v>0</v>
      </c>
      <c r="E35" s="212">
        <v>141303537</v>
      </c>
      <c r="F35" s="213">
        <v>0</v>
      </c>
      <c r="G35" s="212">
        <f>+B35+C35+D35+E35+F35</f>
        <v>131306367536.63007</v>
      </c>
    </row>
    <row r="36" spans="1:7">
      <c r="A36" s="209" t="s">
        <v>15</v>
      </c>
      <c r="B36" s="210">
        <f>+B10+B15+B25+B28+B34</f>
        <v>545075975358.41199</v>
      </c>
      <c r="C36" s="210">
        <f>+C10+C15+C25+C28+C34</f>
        <v>54459195735.709984</v>
      </c>
      <c r="D36" s="210">
        <f>+D10+D15+D25+D28+D34</f>
        <v>11025943798.959988</v>
      </c>
      <c r="E36" s="210">
        <f>+E10+E15+E25+E28+E34</f>
        <v>16256758697</v>
      </c>
      <c r="F36" s="210">
        <f>+F10+F15+F25+F28+F34</f>
        <v>118700359293.60992</v>
      </c>
      <c r="G36" s="210">
        <f>+B36+C36+D36+E36+F36</f>
        <v>745518232883.69189</v>
      </c>
    </row>
    <row r="37" spans="1:7" ht="15" customHeight="1">
      <c r="A37" s="51" t="s">
        <v>84</v>
      </c>
      <c r="E37" s="100"/>
    </row>
    <row r="38" spans="1:7">
      <c r="E38" s="68"/>
    </row>
    <row r="39" spans="1:7">
      <c r="G39" t="s">
        <v>226</v>
      </c>
    </row>
  </sheetData>
  <mergeCells count="7">
    <mergeCell ref="A7:G7"/>
    <mergeCell ref="A8:G8"/>
    <mergeCell ref="A1:G1"/>
    <mergeCell ref="A2:G2"/>
    <mergeCell ref="A3:G3"/>
    <mergeCell ref="A5:G5"/>
    <mergeCell ref="A6:G6"/>
  </mergeCells>
  <pageMargins left="0.7" right="0.7" top="0.75" bottom="0.75" header="0.3" footer="0.3"/>
  <pageSetup orientation="portrait" horizontalDpi="4294967295" verticalDpi="4294967295" r:id="rId1"/>
  <ignoredErrors>
    <ignoredError sqref="G15 G25 G28 G34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37"/>
  <sheetViews>
    <sheetView showGridLines="0" zoomScale="85" zoomScaleNormal="85" workbookViewId="0">
      <selection activeCell="K19" sqref="K19:K20"/>
    </sheetView>
  </sheetViews>
  <sheetFormatPr baseColWidth="10" defaultColWidth="11.42578125" defaultRowHeight="15"/>
  <cols>
    <col min="1" max="1" width="55.5703125" style="19" customWidth="1"/>
    <col min="2" max="2" width="11.85546875" style="19" customWidth="1"/>
    <col min="3" max="3" width="16.85546875" style="19" customWidth="1"/>
    <col min="4" max="4" width="12.140625" style="19" customWidth="1"/>
    <col min="5" max="5" width="11.5703125" style="19" customWidth="1"/>
    <col min="6" max="6" width="10.5703125" style="19" customWidth="1"/>
    <col min="7" max="7" width="12.140625" style="19" customWidth="1"/>
    <col min="8" max="16384" width="11.42578125" style="19"/>
  </cols>
  <sheetData>
    <row r="1" spans="1:17" ht="28.5" customHeight="1">
      <c r="A1" s="245" t="s">
        <v>0</v>
      </c>
      <c r="B1" s="246"/>
      <c r="C1" s="246"/>
      <c r="D1" s="246"/>
      <c r="E1" s="246"/>
      <c r="F1" s="246"/>
      <c r="G1" s="246"/>
      <c r="H1" s="27"/>
      <c r="I1" s="28"/>
    </row>
    <row r="2" spans="1:17" ht="21">
      <c r="A2" s="247" t="s">
        <v>1</v>
      </c>
      <c r="B2" s="248"/>
      <c r="C2" s="248"/>
      <c r="D2" s="248"/>
      <c r="E2" s="248"/>
      <c r="F2" s="248"/>
      <c r="G2" s="248"/>
      <c r="H2" s="29"/>
      <c r="I2" s="30"/>
    </row>
    <row r="3" spans="1:17" ht="15.75" customHeight="1">
      <c r="A3" s="280" t="s">
        <v>10</v>
      </c>
      <c r="B3" s="281"/>
      <c r="C3" s="281"/>
      <c r="D3" s="281"/>
      <c r="E3" s="281"/>
      <c r="F3" s="281"/>
      <c r="G3" s="281"/>
      <c r="H3" s="31"/>
      <c r="I3" s="32"/>
      <c r="J3" s="102"/>
    </row>
    <row r="4" spans="1:17">
      <c r="J4" s="261"/>
      <c r="K4" s="261"/>
      <c r="L4" s="261"/>
      <c r="M4" s="261"/>
      <c r="N4" s="261"/>
      <c r="O4" s="261"/>
      <c r="P4" s="261"/>
      <c r="Q4" s="261"/>
    </row>
    <row r="5" spans="1:17" ht="18.75">
      <c r="A5" s="301" t="s">
        <v>188</v>
      </c>
      <c r="B5" s="301"/>
      <c r="C5" s="301"/>
      <c r="D5" s="301"/>
      <c r="E5" s="301"/>
      <c r="F5" s="301"/>
      <c r="G5" s="301"/>
      <c r="H5" s="61"/>
      <c r="I5" s="61"/>
      <c r="J5" s="261"/>
      <c r="K5" s="261"/>
      <c r="L5" s="261"/>
      <c r="M5" s="261"/>
      <c r="N5" s="261"/>
      <c r="O5" s="261"/>
      <c r="P5" s="261"/>
      <c r="Q5" s="261"/>
    </row>
    <row r="6" spans="1:17" ht="18.75">
      <c r="A6" s="301" t="s">
        <v>112</v>
      </c>
      <c r="B6" s="301"/>
      <c r="C6" s="301"/>
      <c r="D6" s="301"/>
      <c r="E6" s="301"/>
      <c r="F6" s="301"/>
      <c r="G6" s="301"/>
      <c r="H6" s="61"/>
      <c r="I6" s="61"/>
    </row>
    <row r="7" spans="1:17" ht="18.75">
      <c r="A7" s="301" t="s">
        <v>196</v>
      </c>
      <c r="B7" s="301"/>
      <c r="C7" s="301"/>
      <c r="D7" s="301"/>
      <c r="E7" s="301"/>
      <c r="F7" s="301"/>
      <c r="G7" s="301"/>
      <c r="H7" s="61"/>
      <c r="I7" s="61"/>
    </row>
    <row r="8" spans="1:17">
      <c r="A8" s="321" t="s">
        <v>12</v>
      </c>
      <c r="B8" s="321"/>
      <c r="C8" s="321"/>
      <c r="D8" s="321"/>
      <c r="E8" s="321"/>
      <c r="F8" s="321"/>
      <c r="G8" s="321"/>
      <c r="H8" s="64"/>
      <c r="I8" s="64"/>
    </row>
    <row r="9" spans="1:17" ht="51">
      <c r="A9" s="191" t="s">
        <v>85</v>
      </c>
      <c r="B9" s="191" t="s">
        <v>13</v>
      </c>
      <c r="C9" s="191" t="s">
        <v>177</v>
      </c>
      <c r="D9" s="191" t="s">
        <v>178</v>
      </c>
      <c r="E9" s="191" t="s">
        <v>41</v>
      </c>
      <c r="F9" s="191" t="s">
        <v>14</v>
      </c>
      <c r="G9" s="191" t="s">
        <v>15</v>
      </c>
    </row>
    <row r="10" spans="1:17">
      <c r="A10" s="126" t="s">
        <v>86</v>
      </c>
      <c r="B10" s="211">
        <f>SUM(B11:B14)</f>
        <v>105506810688</v>
      </c>
      <c r="C10" s="211">
        <f>SUM(C11:C14)</f>
        <v>14551352851</v>
      </c>
      <c r="D10" s="211">
        <f>SUM(D11:D14)</f>
        <v>2400000</v>
      </c>
      <c r="E10" s="211">
        <f>SUM(E11:E14)</f>
        <v>7579378239</v>
      </c>
      <c r="F10" s="211">
        <f>SUM(F11:F14)</f>
        <v>26039700</v>
      </c>
      <c r="G10" s="211">
        <f>+B10+C10+D10+E10+F10</f>
        <v>127665981478</v>
      </c>
    </row>
    <row r="11" spans="1:17">
      <c r="A11" s="208" t="s">
        <v>87</v>
      </c>
      <c r="B11" s="212">
        <v>41802879993</v>
      </c>
      <c r="C11" s="212">
        <v>13722778603</v>
      </c>
      <c r="D11" s="214">
        <v>0</v>
      </c>
      <c r="E11" s="212">
        <v>6975688986</v>
      </c>
      <c r="F11" s="212">
        <v>11000000</v>
      </c>
      <c r="G11" s="212">
        <f>+B11+C11+D11+E11+F11</f>
        <v>62512347582</v>
      </c>
    </row>
    <row r="12" spans="1:17">
      <c r="A12" s="208" t="s">
        <v>88</v>
      </c>
      <c r="B12" s="212">
        <v>8510780757</v>
      </c>
      <c r="C12" s="212">
        <v>15009124</v>
      </c>
      <c r="D12" s="212">
        <v>2400000</v>
      </c>
      <c r="E12" s="214">
        <v>0</v>
      </c>
      <c r="F12" s="212">
        <v>15039700</v>
      </c>
      <c r="G12" s="212">
        <f>+B12+C12+D12+E12+F12</f>
        <v>8543229581</v>
      </c>
    </row>
    <row r="13" spans="1:17">
      <c r="A13" s="208" t="s">
        <v>89</v>
      </c>
      <c r="B13" s="212">
        <v>25515674244</v>
      </c>
      <c r="C13" s="212">
        <v>269445945</v>
      </c>
      <c r="D13" s="214">
        <v>0</v>
      </c>
      <c r="E13" s="212">
        <v>2312604</v>
      </c>
      <c r="F13" s="214">
        <v>0</v>
      </c>
      <c r="G13" s="212">
        <f>+B13+C13+D13+E13+F13</f>
        <v>25787432793</v>
      </c>
    </row>
    <row r="14" spans="1:17">
      <c r="A14" s="208" t="s">
        <v>90</v>
      </c>
      <c r="B14" s="212">
        <v>29677475694</v>
      </c>
      <c r="C14" s="212">
        <v>544119179</v>
      </c>
      <c r="D14" s="214">
        <v>0</v>
      </c>
      <c r="E14" s="212">
        <v>601376649</v>
      </c>
      <c r="F14" s="214">
        <v>0</v>
      </c>
      <c r="G14" s="212">
        <f>+B14+C14+D14+E14+F14</f>
        <v>30822971522</v>
      </c>
    </row>
    <row r="15" spans="1:17">
      <c r="A15" s="126" t="s">
        <v>91</v>
      </c>
      <c r="B15" s="211">
        <f t="shared" ref="B15:G15" si="0">SUM(B16:B24)</f>
        <v>51431851447</v>
      </c>
      <c r="C15" s="211">
        <f t="shared" si="0"/>
        <v>24004139560</v>
      </c>
      <c r="D15" s="211">
        <f t="shared" si="0"/>
        <v>0</v>
      </c>
      <c r="E15" s="211">
        <f t="shared" si="0"/>
        <v>4315939048</v>
      </c>
      <c r="F15" s="211">
        <f t="shared" si="0"/>
        <v>129511296369</v>
      </c>
      <c r="G15" s="211">
        <f t="shared" si="0"/>
        <v>209263226424</v>
      </c>
    </row>
    <row r="16" spans="1:17">
      <c r="A16" s="208" t="s">
        <v>92</v>
      </c>
      <c r="B16" s="212">
        <v>5280700738</v>
      </c>
      <c r="C16" s="212">
        <v>2612214706</v>
      </c>
      <c r="D16" s="214">
        <v>0</v>
      </c>
      <c r="E16" s="212">
        <v>856767962</v>
      </c>
      <c r="F16" s="212">
        <v>178434532</v>
      </c>
      <c r="G16" s="212">
        <f t="shared" ref="G16:G24" si="1">+B16+C16+D16+E16+F16</f>
        <v>8928117938</v>
      </c>
    </row>
    <row r="17" spans="1:8">
      <c r="A17" s="208" t="s">
        <v>93</v>
      </c>
      <c r="B17" s="212">
        <v>7454921243</v>
      </c>
      <c r="C17" s="212">
        <v>2983419585</v>
      </c>
      <c r="D17" s="214">
        <v>0</v>
      </c>
      <c r="E17" s="212">
        <v>115356</v>
      </c>
      <c r="F17" s="212">
        <v>3185284170</v>
      </c>
      <c r="G17" s="212">
        <f t="shared" si="1"/>
        <v>13623740354</v>
      </c>
    </row>
    <row r="18" spans="1:8">
      <c r="A18" s="208" t="s">
        <v>94</v>
      </c>
      <c r="B18" s="212">
        <v>0</v>
      </c>
      <c r="C18" s="212">
        <v>6138557084</v>
      </c>
      <c r="D18" s="214">
        <v>0</v>
      </c>
      <c r="E18" s="214">
        <v>0</v>
      </c>
      <c r="F18" s="214">
        <v>0</v>
      </c>
      <c r="G18" s="212">
        <f t="shared" si="1"/>
        <v>6138557084</v>
      </c>
    </row>
    <row r="19" spans="1:8">
      <c r="A19" s="208" t="s">
        <v>95</v>
      </c>
      <c r="B19" s="212">
        <v>553466293</v>
      </c>
      <c r="C19" s="212">
        <v>1192086053</v>
      </c>
      <c r="D19" s="214">
        <v>0</v>
      </c>
      <c r="E19" s="212">
        <v>98457793</v>
      </c>
      <c r="F19" s="212">
        <v>124577191502</v>
      </c>
      <c r="G19" s="212">
        <f t="shared" si="1"/>
        <v>126421201641</v>
      </c>
    </row>
    <row r="20" spans="1:8">
      <c r="A20" s="208" t="s">
        <v>227</v>
      </c>
      <c r="B20" s="212">
        <v>443475203</v>
      </c>
      <c r="C20" s="214"/>
      <c r="D20" s="214">
        <v>0</v>
      </c>
      <c r="E20" s="212">
        <v>1296982751</v>
      </c>
      <c r="F20" s="214">
        <v>0</v>
      </c>
      <c r="G20" s="212">
        <f t="shared" si="1"/>
        <v>1740457954</v>
      </c>
    </row>
    <row r="21" spans="1:8">
      <c r="A21" s="208" t="s">
        <v>97</v>
      </c>
      <c r="B21" s="212">
        <v>28587542017</v>
      </c>
      <c r="C21" s="212">
        <v>6055511330</v>
      </c>
      <c r="D21" s="214">
        <v>0</v>
      </c>
      <c r="E21" s="212">
        <v>2063147781</v>
      </c>
      <c r="F21" s="212">
        <v>1102013846</v>
      </c>
      <c r="G21" s="212">
        <f t="shared" si="1"/>
        <v>37808214974</v>
      </c>
    </row>
    <row r="22" spans="1:8">
      <c r="A22" s="208" t="s">
        <v>98</v>
      </c>
      <c r="B22" s="212">
        <v>397822721</v>
      </c>
      <c r="C22" s="214">
        <v>2415506943</v>
      </c>
      <c r="D22" s="214">
        <v>0</v>
      </c>
      <c r="E22" s="214">
        <v>0</v>
      </c>
      <c r="F22" s="212">
        <v>347517519</v>
      </c>
      <c r="G22" s="212">
        <f t="shared" si="1"/>
        <v>3160847183</v>
      </c>
    </row>
    <row r="23" spans="1:8">
      <c r="A23" s="208" t="s">
        <v>99</v>
      </c>
      <c r="B23" s="212">
        <v>0</v>
      </c>
      <c r="C23" s="212">
        <v>2480257758</v>
      </c>
      <c r="D23" s="214">
        <v>0</v>
      </c>
      <c r="E23" s="214">
        <v>0</v>
      </c>
      <c r="F23" s="214">
        <v>0</v>
      </c>
      <c r="G23" s="212">
        <f t="shared" si="1"/>
        <v>2480257758</v>
      </c>
    </row>
    <row r="24" spans="1:8">
      <c r="A24" s="208" t="s">
        <v>100</v>
      </c>
      <c r="B24" s="212">
        <v>8713923232</v>
      </c>
      <c r="C24" s="212">
        <v>126586101</v>
      </c>
      <c r="D24" s="214">
        <v>0</v>
      </c>
      <c r="E24" s="212">
        <v>467405</v>
      </c>
      <c r="F24" s="212">
        <v>120854800</v>
      </c>
      <c r="G24" s="212">
        <f t="shared" si="1"/>
        <v>8961831538</v>
      </c>
    </row>
    <row r="25" spans="1:8">
      <c r="A25" s="126" t="s">
        <v>101</v>
      </c>
      <c r="B25" s="211">
        <f t="shared" ref="B25:G25" si="2">SUM(B26:B27)</f>
        <v>5270584704</v>
      </c>
      <c r="C25" s="211">
        <f t="shared" si="2"/>
        <v>381445413</v>
      </c>
      <c r="D25" s="211">
        <f t="shared" si="2"/>
        <v>0</v>
      </c>
      <c r="E25" s="211">
        <f t="shared" si="2"/>
        <v>5443444440</v>
      </c>
      <c r="F25" s="211">
        <f t="shared" si="2"/>
        <v>9460769257</v>
      </c>
      <c r="G25" s="211">
        <f t="shared" si="2"/>
        <v>20556243814</v>
      </c>
      <c r="H25" s="19" t="s">
        <v>226</v>
      </c>
    </row>
    <row r="26" spans="1:8">
      <c r="A26" s="208" t="s">
        <v>102</v>
      </c>
      <c r="B26" s="212">
        <v>1571763871</v>
      </c>
      <c r="C26" s="212">
        <v>11865000</v>
      </c>
      <c r="D26" s="214">
        <v>0</v>
      </c>
      <c r="E26" s="212">
        <v>687667349</v>
      </c>
      <c r="F26" s="212">
        <v>9460769257</v>
      </c>
      <c r="G26" s="212">
        <f>+B26+C26+D26+E26+F26</f>
        <v>11732065477</v>
      </c>
    </row>
    <row r="27" spans="1:8">
      <c r="A27" s="208" t="s">
        <v>228</v>
      </c>
      <c r="B27" s="212">
        <v>3698820833</v>
      </c>
      <c r="C27" s="212">
        <v>369580413</v>
      </c>
      <c r="D27" s="214">
        <v>0</v>
      </c>
      <c r="E27" s="212">
        <v>4755777091</v>
      </c>
      <c r="F27" s="214">
        <v>0</v>
      </c>
      <c r="G27" s="212">
        <f>+B27+C27+D27+E27+F27</f>
        <v>8824178337</v>
      </c>
    </row>
    <row r="28" spans="1:8">
      <c r="A28" s="126" t="s">
        <v>104</v>
      </c>
      <c r="B28" s="211">
        <f t="shared" ref="B28:G28" si="3">SUM(B29:B33)</f>
        <v>256305260455</v>
      </c>
      <c r="C28" s="211">
        <f t="shared" si="3"/>
        <v>55495822475</v>
      </c>
      <c r="D28" s="211">
        <f t="shared" si="3"/>
        <v>27146965393</v>
      </c>
      <c r="E28" s="211">
        <f t="shared" si="3"/>
        <v>3314179898</v>
      </c>
      <c r="F28" s="211">
        <f t="shared" si="3"/>
        <v>12986685717</v>
      </c>
      <c r="G28" s="211">
        <f t="shared" si="3"/>
        <v>355248913938</v>
      </c>
    </row>
    <row r="29" spans="1:8">
      <c r="A29" s="208" t="s">
        <v>105</v>
      </c>
      <c r="B29" s="212">
        <v>457009154</v>
      </c>
      <c r="C29" s="214">
        <v>1846700877</v>
      </c>
      <c r="D29" s="214">
        <v>0</v>
      </c>
      <c r="E29" s="212">
        <v>592990345</v>
      </c>
      <c r="F29" s="212">
        <v>10597712582</v>
      </c>
      <c r="G29" s="212">
        <f>+B29+C29+D29+E29+F29</f>
        <v>13494412958</v>
      </c>
    </row>
    <row r="30" spans="1:8">
      <c r="A30" s="208" t="s">
        <v>106</v>
      </c>
      <c r="B30" s="212">
        <v>32313301412</v>
      </c>
      <c r="C30" s="212">
        <v>39036640068</v>
      </c>
      <c r="D30" s="212">
        <v>1269699828</v>
      </c>
      <c r="E30" s="212">
        <v>139644812</v>
      </c>
      <c r="F30" s="214">
        <v>0</v>
      </c>
      <c r="G30" s="212">
        <f>+B30+C30+D30+E30+F30</f>
        <v>72759286120</v>
      </c>
    </row>
    <row r="31" spans="1:8">
      <c r="A31" s="208" t="s">
        <v>107</v>
      </c>
      <c r="B31" s="212">
        <v>5752618429</v>
      </c>
      <c r="C31" s="212">
        <v>361412387</v>
      </c>
      <c r="D31" s="214">
        <v>0</v>
      </c>
      <c r="E31" s="212">
        <v>1355653190</v>
      </c>
      <c r="F31" s="212">
        <v>320289608</v>
      </c>
      <c r="G31" s="212">
        <f>+B31+C31+D31+E31+F31</f>
        <v>7789973614</v>
      </c>
    </row>
    <row r="32" spans="1:8">
      <c r="A32" s="208" t="s">
        <v>108</v>
      </c>
      <c r="B32" s="212">
        <v>152773890658</v>
      </c>
      <c r="C32" s="212">
        <v>12808971785</v>
      </c>
      <c r="D32" s="214">
        <v>6479363</v>
      </c>
      <c r="E32" s="212">
        <v>332713374</v>
      </c>
      <c r="F32" s="212">
        <v>47321432</v>
      </c>
      <c r="G32" s="212">
        <f>+B32+C32+D32+E32+F32</f>
        <v>165969376612</v>
      </c>
      <c r="H32" s="19" t="s">
        <v>226</v>
      </c>
    </row>
    <row r="33" spans="1:7">
      <c r="A33" s="208" t="s">
        <v>229</v>
      </c>
      <c r="B33" s="212">
        <v>65008440802</v>
      </c>
      <c r="C33" s="212">
        <v>1442097358</v>
      </c>
      <c r="D33" s="212">
        <v>25870786202</v>
      </c>
      <c r="E33" s="212">
        <v>893178177</v>
      </c>
      <c r="F33" s="212">
        <v>2021362095</v>
      </c>
      <c r="G33" s="212">
        <f>+B33+C33+D33+E33+F33</f>
        <v>95235864634</v>
      </c>
    </row>
    <row r="34" spans="1:7">
      <c r="A34" s="126" t="s">
        <v>110</v>
      </c>
      <c r="B34" s="211">
        <f t="shared" ref="B34:G34" si="4">+B35</f>
        <v>134634881860</v>
      </c>
      <c r="C34" s="211">
        <f t="shared" si="4"/>
        <v>5418826</v>
      </c>
      <c r="D34" s="211">
        <f t="shared" si="4"/>
        <v>4221975488</v>
      </c>
      <c r="E34" s="211">
        <f t="shared" si="4"/>
        <v>186801357</v>
      </c>
      <c r="F34" s="211">
        <f t="shared" si="4"/>
        <v>0</v>
      </c>
      <c r="G34" s="211">
        <f t="shared" si="4"/>
        <v>139049077531</v>
      </c>
    </row>
    <row r="35" spans="1:7">
      <c r="A35" s="208" t="s">
        <v>111</v>
      </c>
      <c r="B35" s="212">
        <v>134634881860</v>
      </c>
      <c r="C35" s="212">
        <v>5418826</v>
      </c>
      <c r="D35" s="214">
        <v>4221975488</v>
      </c>
      <c r="E35" s="212">
        <v>186801357</v>
      </c>
      <c r="F35" s="214">
        <v>0</v>
      </c>
      <c r="G35" s="212">
        <f>+B35+C35+D35+E35+F35</f>
        <v>139049077531</v>
      </c>
    </row>
    <row r="36" spans="1:7">
      <c r="A36" s="209" t="s">
        <v>15</v>
      </c>
      <c r="B36" s="210">
        <f>+B10+B15+B25+B28+B34</f>
        <v>553149389154</v>
      </c>
      <c r="C36" s="210">
        <f>+C10+C15+C25+C28+C34</f>
        <v>94438179125</v>
      </c>
      <c r="D36" s="210">
        <f>+D10+D15+D25+D28+D34</f>
        <v>31371340881</v>
      </c>
      <c r="E36" s="210">
        <f>+E10+E15+E25+E28+E34</f>
        <v>20839742982</v>
      </c>
      <c r="F36" s="210">
        <f>+F10+F15+F25+F28+F34</f>
        <v>151984791043</v>
      </c>
      <c r="G36" s="210">
        <f>+B36+C36+D36+E36+F36</f>
        <v>851783443185</v>
      </c>
    </row>
    <row r="37" spans="1:7" ht="15" customHeight="1">
      <c r="A37" s="51" t="s">
        <v>84</v>
      </c>
    </row>
  </sheetData>
  <mergeCells count="8">
    <mergeCell ref="J4:Q5"/>
    <mergeCell ref="A8:G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pageSetup orientation="portrait" horizontalDpi="4294967295" verticalDpi="4294967295" r:id="rId1"/>
  <ignoredErrors>
    <ignoredError sqref="G15 G25 G34 G28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zoomScale="85" zoomScaleNormal="85" workbookViewId="0">
      <selection activeCell="B18" sqref="B18:H18"/>
    </sheetView>
  </sheetViews>
  <sheetFormatPr baseColWidth="10" defaultColWidth="11.42578125" defaultRowHeight="15"/>
  <cols>
    <col min="1" max="1" width="11.42578125" style="19"/>
    <col min="2" max="2" width="34.85546875" customWidth="1"/>
    <col min="3" max="3" width="15.28515625" customWidth="1"/>
    <col min="4" max="4" width="15.28515625" style="19" customWidth="1"/>
    <col min="5" max="5" width="12" bestFit="1" customWidth="1"/>
    <col min="6" max="6" width="12" style="19" customWidth="1"/>
    <col min="7" max="7" width="13.28515625" customWidth="1"/>
    <col min="8" max="8" width="11.42578125" style="19"/>
  </cols>
  <sheetData>
    <row r="1" spans="1:8" s="19" customFormat="1" ht="28.5">
      <c r="A1" s="245" t="s">
        <v>0</v>
      </c>
      <c r="B1" s="246"/>
      <c r="C1" s="246"/>
      <c r="D1" s="246"/>
      <c r="E1" s="246"/>
      <c r="F1" s="246"/>
      <c r="G1" s="246"/>
      <c r="H1" s="246"/>
    </row>
    <row r="2" spans="1:8" s="19" customFormat="1" ht="21">
      <c r="A2" s="247" t="s">
        <v>1</v>
      </c>
      <c r="B2" s="248"/>
      <c r="C2" s="248"/>
      <c r="D2" s="248"/>
      <c r="E2" s="248"/>
      <c r="F2" s="248"/>
      <c r="G2" s="248"/>
      <c r="H2" s="248"/>
    </row>
    <row r="3" spans="1:8" s="19" customFormat="1" ht="15.75">
      <c r="A3" s="280" t="s">
        <v>10</v>
      </c>
      <c r="B3" s="281"/>
      <c r="C3" s="281"/>
      <c r="D3" s="281"/>
      <c r="E3" s="281"/>
      <c r="F3" s="281"/>
      <c r="G3" s="281"/>
      <c r="H3" s="281"/>
    </row>
    <row r="4" spans="1:8" s="19" customFormat="1"/>
    <row r="5" spans="1:8" s="19" customFormat="1" ht="18.75">
      <c r="A5" s="300" t="s">
        <v>186</v>
      </c>
      <c r="B5" s="300"/>
      <c r="C5" s="300"/>
      <c r="D5" s="300"/>
      <c r="E5" s="300"/>
      <c r="F5" s="300"/>
      <c r="G5" s="300"/>
      <c r="H5" s="300"/>
    </row>
    <row r="6" spans="1:8" s="19" customFormat="1" ht="18.75">
      <c r="A6" s="300" t="s">
        <v>278</v>
      </c>
      <c r="B6" s="300"/>
      <c r="C6" s="300"/>
      <c r="D6" s="300"/>
      <c r="E6" s="300"/>
      <c r="F6" s="300"/>
      <c r="G6" s="300"/>
      <c r="H6" s="300"/>
    </row>
    <row r="7" spans="1:8" s="19" customFormat="1" ht="18.75">
      <c r="A7" s="300" t="s">
        <v>196</v>
      </c>
      <c r="B7" s="300"/>
      <c r="C7" s="300"/>
      <c r="D7" s="300"/>
      <c r="E7" s="300"/>
      <c r="F7" s="300"/>
      <c r="G7" s="300"/>
      <c r="H7" s="300"/>
    </row>
    <row r="8" spans="1:8" s="19" customFormat="1">
      <c r="A8" s="320" t="s">
        <v>12</v>
      </c>
      <c r="B8" s="320"/>
      <c r="C8" s="320"/>
      <c r="D8" s="320"/>
      <c r="E8" s="320"/>
      <c r="F8" s="320"/>
      <c r="G8" s="320"/>
      <c r="H8" s="320"/>
    </row>
    <row r="9" spans="1:8">
      <c r="B9" s="19"/>
      <c r="C9" s="19"/>
      <c r="E9" s="19"/>
      <c r="G9" s="19"/>
      <c r="H9" s="90"/>
    </row>
    <row r="10" spans="1:8" ht="14.45" customHeight="1">
      <c r="B10" s="219"/>
      <c r="C10" s="323" t="s">
        <v>152</v>
      </c>
      <c r="D10" s="323"/>
      <c r="E10" s="324" t="s">
        <v>153</v>
      </c>
      <c r="F10" s="324"/>
      <c r="G10" s="323" t="s">
        <v>154</v>
      </c>
      <c r="H10" s="323"/>
    </row>
    <row r="11" spans="1:8">
      <c r="B11" s="219"/>
      <c r="C11" s="220" t="s">
        <v>151</v>
      </c>
      <c r="D11" s="220" t="s">
        <v>118</v>
      </c>
      <c r="E11" s="220" t="s">
        <v>151</v>
      </c>
      <c r="F11" s="220" t="s">
        <v>118</v>
      </c>
      <c r="G11" s="220" t="s">
        <v>151</v>
      </c>
      <c r="H11" s="220" t="s">
        <v>118</v>
      </c>
    </row>
    <row r="12" spans="1:8">
      <c r="B12" s="215" t="s">
        <v>13</v>
      </c>
      <c r="C12" s="216">
        <f>+'9. Form. Consolidado Gastos'!B12</f>
        <v>261180722457</v>
      </c>
      <c r="D12" s="216">
        <f>'8. Ejec. Consolidado Gastos'!B12</f>
        <v>256801938027.21616</v>
      </c>
      <c r="E12" s="216">
        <f>+SUM('9. Form. Consolidado Gastos'!B19:B22)</f>
        <v>73411230116</v>
      </c>
      <c r="F12" s="216">
        <f>'8. Ejec. Consolidado Gastos'!B19+'8. Ejec. Consolidado Gastos'!B20+'8. Ejec. Consolidado Gastos'!B21+'8. Ejec. Consolidado Gastos'!B22</f>
        <v>59341832895.37011</v>
      </c>
      <c r="G12" s="216">
        <f>C12+E12</f>
        <v>334591952573</v>
      </c>
      <c r="H12" s="216">
        <f>+D12+F12</f>
        <v>316143770922.58624</v>
      </c>
    </row>
    <row r="13" spans="1:8">
      <c r="B13" s="215" t="s">
        <v>155</v>
      </c>
      <c r="C13" s="216">
        <f>'9. Form. Consolidado Gastos'!C12</f>
        <v>79374678582</v>
      </c>
      <c r="D13" s="216">
        <f>'8. Ejec. Consolidado Gastos'!C12</f>
        <v>49928431570.729988</v>
      </c>
      <c r="E13" s="216">
        <f>+SUM('9. Form. Consolidado Gastos'!C19:C22)</f>
        <v>12222650525</v>
      </c>
      <c r="F13" s="216">
        <f>'8. Ejec. Consolidado Gastos'!C19+'8. Ejec. Consolidado Gastos'!C20+'8. Ejec. Consolidado Gastos'!C21+'8. Ejec. Consolidado Gastos'!C22</f>
        <v>4116487459.3699999</v>
      </c>
      <c r="G13" s="216">
        <f>C13+E13</f>
        <v>91597329107</v>
      </c>
      <c r="H13" s="216">
        <f>+D13+F13</f>
        <v>54044919030.099991</v>
      </c>
    </row>
    <row r="14" spans="1:8">
      <c r="B14" s="215" t="s">
        <v>156</v>
      </c>
      <c r="C14" s="216">
        <f>'9. Form. Consolidado Gastos'!D12</f>
        <v>24689353040</v>
      </c>
      <c r="D14" s="216">
        <f>'8. Ejec. Consolidado Gastos'!D12</f>
        <v>1185014445.8799984</v>
      </c>
      <c r="E14" s="216">
        <f>+SUM('9. Form. Consolidado Gastos'!D19:D22)</f>
        <v>615905240</v>
      </c>
      <c r="F14" s="216">
        <f>'8. Ejec. Consolidado Gastos'!D19+'8. Ejec. Consolidado Gastos'!D20+'8. Ejec. Consolidado Gastos'!D21+'8. Ejec. Consolidado Gastos'!D22</f>
        <v>80959967.699999988</v>
      </c>
      <c r="G14" s="216">
        <f>C14+E14</f>
        <v>25305258280</v>
      </c>
      <c r="H14" s="216">
        <f>+D14+F14</f>
        <v>1265974413.5799985</v>
      </c>
    </row>
    <row r="15" spans="1:8">
      <c r="B15" s="215" t="s">
        <v>41</v>
      </c>
      <c r="C15" s="216">
        <f>'9. Form. Consolidado Gastos'!E11+'9. Form. Consolidado Gastos'!E12</f>
        <v>12212893538</v>
      </c>
      <c r="D15" s="216">
        <f>'8. Ejec. Consolidado Gastos'!E11+'8. Ejec. Consolidado Gastos'!E12</f>
        <v>10526037541</v>
      </c>
      <c r="E15" s="216">
        <f>+SUM('9. Form. Consolidado Gastos'!E19:E22)</f>
        <v>7428855563</v>
      </c>
      <c r="F15" s="216">
        <f>'8. Ejec. Consolidado Gastos'!E19+'8. Ejec. Consolidado Gastos'!E20+'8. Ejec. Consolidado Gastos'!E21+'8. Ejec. Consolidado Gastos'!E22</f>
        <v>4735599644</v>
      </c>
      <c r="G15" s="216">
        <f>C15+E15</f>
        <v>19641749101</v>
      </c>
      <c r="H15" s="216">
        <f>+D15+F15</f>
        <v>15261637185</v>
      </c>
    </row>
    <row r="16" spans="1:8" s="19" customFormat="1">
      <c r="B16" s="215" t="s">
        <v>169</v>
      </c>
      <c r="C16" s="216">
        <f>'9. Form. Consolidado Gastos'!F11+'9. Form. Consolidado Gastos'!F12</f>
        <v>114887108217</v>
      </c>
      <c r="D16" s="216">
        <f>'8. Ejec. Consolidado Gastos'!F11+'8. Ejec. Consolidado Gastos'!F12</f>
        <v>32973998413.35997</v>
      </c>
      <c r="E16" s="216">
        <f>+SUM('9. Form. Consolidado Gastos'!F19:F22)</f>
        <v>33513902752</v>
      </c>
      <c r="F16" s="216">
        <f>'8. Ejec. Consolidado Gastos'!F19+'8. Ejec. Consolidado Gastos'!F20+'8. Ejec. Consolidado Gastos'!F21+'8. Ejec. Consolidado Gastos'!F22</f>
        <v>58727492212.680016</v>
      </c>
      <c r="G16" s="216">
        <f>C16+E16</f>
        <v>148401010969</v>
      </c>
      <c r="H16" s="216">
        <f>+D16+F16</f>
        <v>91701490626.039978</v>
      </c>
    </row>
    <row r="17" spans="2:8">
      <c r="B17" s="217" t="s">
        <v>170</v>
      </c>
      <c r="C17" s="218">
        <f t="shared" ref="C17:H17" si="0">SUM(C12:C16)</f>
        <v>492344755834</v>
      </c>
      <c r="D17" s="218">
        <f t="shared" si="0"/>
        <v>351415419998.18616</v>
      </c>
      <c r="E17" s="218">
        <f t="shared" si="0"/>
        <v>127192544196</v>
      </c>
      <c r="F17" s="218">
        <f t="shared" si="0"/>
        <v>127002372179.12012</v>
      </c>
      <c r="G17" s="218">
        <f t="shared" si="0"/>
        <v>619537300030</v>
      </c>
      <c r="H17" s="218">
        <f t="shared" si="0"/>
        <v>478417792177.30621</v>
      </c>
    </row>
    <row r="18" spans="2:8">
      <c r="B18" s="322" t="s">
        <v>84</v>
      </c>
      <c r="C18" s="322"/>
      <c r="D18" s="322"/>
      <c r="E18" s="322"/>
      <c r="F18" s="322"/>
      <c r="G18" s="322"/>
      <c r="H18" s="322"/>
    </row>
    <row r="20" spans="2:8">
      <c r="C20" s="91"/>
      <c r="D20" s="91"/>
      <c r="E20" s="91"/>
      <c r="F20" s="91"/>
      <c r="G20" s="84"/>
      <c r="H20" s="84"/>
    </row>
    <row r="21" spans="2:8">
      <c r="C21" s="91"/>
      <c r="D21" s="91"/>
      <c r="E21" s="91"/>
      <c r="F21" s="91"/>
      <c r="G21" s="84"/>
      <c r="H21" s="84"/>
    </row>
    <row r="22" spans="2:8">
      <c r="B22" s="19"/>
      <c r="C22" s="91"/>
      <c r="D22" s="91"/>
      <c r="E22" s="91"/>
      <c r="F22" s="91"/>
    </row>
    <row r="23" spans="2:8">
      <c r="C23" s="91"/>
      <c r="D23" s="91"/>
      <c r="E23" s="91"/>
      <c r="F23" s="91"/>
    </row>
    <row r="39" spans="2:8">
      <c r="B39" s="19"/>
    </row>
    <row r="42" spans="2:8">
      <c r="C42" s="91"/>
      <c r="D42" s="91"/>
      <c r="E42" s="91"/>
      <c r="F42" s="91"/>
      <c r="G42" s="84"/>
      <c r="H42" s="84"/>
    </row>
    <row r="43" spans="2:8">
      <c r="C43" s="91"/>
      <c r="D43" s="91"/>
      <c r="E43" s="91"/>
      <c r="F43" s="91"/>
      <c r="G43" s="84"/>
      <c r="H43" s="84"/>
    </row>
    <row r="44" spans="2:8">
      <c r="B44" s="19"/>
      <c r="C44" s="91"/>
      <c r="D44" s="91"/>
      <c r="E44" s="91"/>
      <c r="F44" s="91"/>
    </row>
    <row r="62" spans="2:8">
      <c r="B62" s="19"/>
    </row>
    <row r="64" spans="2:8">
      <c r="C64" s="91"/>
      <c r="D64" s="91"/>
      <c r="E64" s="91"/>
      <c r="F64" s="91"/>
      <c r="G64" s="84"/>
      <c r="H64" s="84"/>
    </row>
    <row r="65" spans="2:8">
      <c r="C65" s="91"/>
      <c r="D65" s="91"/>
      <c r="E65" s="91"/>
      <c r="F65" s="91"/>
      <c r="G65" s="84"/>
      <c r="H65" s="84"/>
    </row>
    <row r="66" spans="2:8">
      <c r="B66" s="19"/>
      <c r="C66" s="91"/>
      <c r="D66" s="91"/>
      <c r="E66" s="91"/>
      <c r="F66" s="91"/>
    </row>
  </sheetData>
  <mergeCells count="11">
    <mergeCell ref="B18:H18"/>
    <mergeCell ref="C10:D10"/>
    <mergeCell ref="E10:F10"/>
    <mergeCell ref="G10:H10"/>
    <mergeCell ref="A1:H1"/>
    <mergeCell ref="A2:H2"/>
    <mergeCell ref="A3:H3"/>
    <mergeCell ref="A5:H5"/>
    <mergeCell ref="A6:H6"/>
    <mergeCell ref="A7:H7"/>
    <mergeCell ref="A8:H8"/>
  </mergeCells>
  <pageMargins left="0.7" right="0.7" top="0.75" bottom="0.75" header="0.3" footer="0.3"/>
  <pageSetup orientation="portrait" r:id="rId1"/>
  <ignoredErrors>
    <ignoredError sqref="E12:E14 E15:E16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90" zoomScaleNormal="90" workbookViewId="0">
      <selection activeCell="I25" sqref="I25"/>
    </sheetView>
  </sheetViews>
  <sheetFormatPr baseColWidth="10" defaultColWidth="11.42578125" defaultRowHeight="15"/>
  <cols>
    <col min="1" max="1" width="13.140625" style="19" customWidth="1"/>
    <col min="2" max="2" width="43.42578125" style="19" bestFit="1" customWidth="1"/>
    <col min="3" max="3" width="17.85546875" style="19" customWidth="1"/>
    <col min="4" max="5" width="16" style="19" customWidth="1"/>
    <col min="6" max="6" width="15.42578125" style="19" customWidth="1"/>
    <col min="7" max="7" width="16" style="19" bestFit="1" customWidth="1"/>
    <col min="8" max="8" width="16.7109375" style="19" customWidth="1"/>
    <col min="9" max="9" width="16" style="19" bestFit="1" customWidth="1"/>
    <col min="10" max="10" width="13.42578125" style="19" bestFit="1" customWidth="1"/>
    <col min="11" max="11" width="16" style="19" bestFit="1" customWidth="1"/>
    <col min="12" max="12" width="14.85546875" style="19" bestFit="1" customWidth="1"/>
    <col min="13" max="13" width="16" style="19" bestFit="1" customWidth="1"/>
    <col min="14" max="14" width="15.7109375" style="19" bestFit="1" customWidth="1"/>
    <col min="15" max="16384" width="11.42578125" style="19"/>
  </cols>
  <sheetData>
    <row r="1" spans="1:16" ht="28.5" customHeight="1">
      <c r="A1" s="245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</row>
    <row r="2" spans="1:16" ht="21">
      <c r="A2" s="247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</row>
    <row r="3" spans="1:16" ht="15.75" customHeight="1">
      <c r="A3" s="280" t="s">
        <v>10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</row>
    <row r="5" spans="1:16" ht="18.75">
      <c r="A5" s="301" t="s">
        <v>187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</row>
    <row r="6" spans="1:16" ht="18.75">
      <c r="A6" s="301" t="s">
        <v>279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</row>
    <row r="7" spans="1:16" ht="18.75">
      <c r="A7" s="301" t="s">
        <v>196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">
      <c r="A8" s="321" t="s">
        <v>12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</row>
    <row r="10" spans="1:16" ht="48.75" customHeight="1">
      <c r="B10" s="219"/>
      <c r="C10" s="323" t="s">
        <v>13</v>
      </c>
      <c r="D10" s="323"/>
      <c r="E10" s="323" t="s">
        <v>141</v>
      </c>
      <c r="F10" s="323"/>
      <c r="G10" s="323" t="s">
        <v>172</v>
      </c>
      <c r="H10" s="323"/>
      <c r="I10" s="323" t="s">
        <v>41</v>
      </c>
      <c r="J10" s="323"/>
      <c r="K10" s="323" t="s">
        <v>14</v>
      </c>
      <c r="L10" s="323"/>
      <c r="M10" s="323" t="s">
        <v>171</v>
      </c>
      <c r="N10" s="323"/>
    </row>
    <row r="11" spans="1:16" ht="21.75" customHeight="1">
      <c r="B11" s="219"/>
      <c r="C11" s="222" t="s">
        <v>151</v>
      </c>
      <c r="D11" s="222" t="s">
        <v>164</v>
      </c>
      <c r="E11" s="222" t="s">
        <v>151</v>
      </c>
      <c r="F11" s="222" t="s">
        <v>164</v>
      </c>
      <c r="G11" s="222" t="s">
        <v>151</v>
      </c>
      <c r="H11" s="222" t="s">
        <v>164</v>
      </c>
      <c r="I11" s="222" t="s">
        <v>151</v>
      </c>
      <c r="J11" s="222" t="s">
        <v>164</v>
      </c>
      <c r="K11" s="222" t="s">
        <v>151</v>
      </c>
      <c r="L11" s="222" t="s">
        <v>164</v>
      </c>
      <c r="M11" s="222" t="s">
        <v>151</v>
      </c>
      <c r="N11" s="222" t="s">
        <v>164</v>
      </c>
    </row>
    <row r="12" spans="1:16" ht="21" customHeight="1">
      <c r="A12" s="115"/>
      <c r="B12" s="221" t="s">
        <v>162</v>
      </c>
      <c r="C12" s="332">
        <v>143125.6</v>
      </c>
      <c r="D12" s="332">
        <v>157239.81633253986</v>
      </c>
      <c r="E12" s="333">
        <v>47817.8</v>
      </c>
      <c r="F12" s="333">
        <v>34880.722975879951</v>
      </c>
      <c r="G12" s="333">
        <v>2521</v>
      </c>
      <c r="H12" s="332">
        <v>697.82043796000016</v>
      </c>
      <c r="I12" s="333">
        <v>7224.3</v>
      </c>
      <c r="J12" s="333">
        <v>6273.2211269999998</v>
      </c>
      <c r="K12" s="332">
        <v>16355.9</v>
      </c>
      <c r="L12" s="332">
        <v>16155.273962600002</v>
      </c>
      <c r="M12" s="333">
        <f t="shared" ref="M12:N16" si="0">C12+E12+G12+I12+K12</f>
        <v>217044.6</v>
      </c>
      <c r="N12" s="333">
        <f t="shared" si="0"/>
        <v>215246.85483597982</v>
      </c>
    </row>
    <row r="13" spans="1:16" ht="23.25" customHeight="1">
      <c r="A13" s="115"/>
      <c r="B13" s="221" t="s">
        <v>163</v>
      </c>
      <c r="C13" s="332">
        <v>8775.2000000000007</v>
      </c>
      <c r="D13" s="332">
        <v>9933.1582927699928</v>
      </c>
      <c r="E13" s="333">
        <v>4035.7</v>
      </c>
      <c r="F13" s="333">
        <v>2740.8600051600056</v>
      </c>
      <c r="G13" s="333">
        <v>452.9</v>
      </c>
      <c r="H13" s="332">
        <v>109.60134380999997</v>
      </c>
      <c r="I13" s="333">
        <v>154.19999999999999</v>
      </c>
      <c r="J13" s="333">
        <v>113.892297</v>
      </c>
      <c r="K13" s="332">
        <v>2249.9</v>
      </c>
      <c r="L13" s="332">
        <v>1887.6376104000005</v>
      </c>
      <c r="M13" s="333">
        <f t="shared" si="0"/>
        <v>15667.900000000001</v>
      </c>
      <c r="N13" s="333">
        <f t="shared" si="0"/>
        <v>14785.14954914</v>
      </c>
    </row>
    <row r="14" spans="1:16" ht="22.5" customHeight="1">
      <c r="A14" s="115"/>
      <c r="B14" s="221" t="s">
        <v>167</v>
      </c>
      <c r="C14" s="332">
        <v>1319.7</v>
      </c>
      <c r="D14" s="332">
        <v>1229.9713368600003</v>
      </c>
      <c r="E14" s="333">
        <v>92.5</v>
      </c>
      <c r="F14" s="333">
        <v>25.632707849999999</v>
      </c>
      <c r="G14" s="333">
        <v>61.5</v>
      </c>
      <c r="H14" s="332">
        <v>20.026399999999999</v>
      </c>
      <c r="I14" s="333">
        <v>200.1</v>
      </c>
      <c r="J14" s="333">
        <v>141.72682900000001</v>
      </c>
      <c r="K14" s="332">
        <v>179.9</v>
      </c>
      <c r="L14" s="332">
        <v>144.08877445000002</v>
      </c>
      <c r="M14" s="333">
        <f t="shared" si="0"/>
        <v>1853.7</v>
      </c>
      <c r="N14" s="333">
        <f t="shared" si="0"/>
        <v>1561.4460481600004</v>
      </c>
    </row>
    <row r="15" spans="1:16" ht="22.5" customHeight="1">
      <c r="A15" s="115"/>
      <c r="B15" s="221" t="s">
        <v>165</v>
      </c>
      <c r="C15" s="332">
        <v>732.7</v>
      </c>
      <c r="D15" s="332">
        <v>653.40465785000004</v>
      </c>
      <c r="E15" s="333">
        <v>1422.4</v>
      </c>
      <c r="F15" s="333">
        <v>343.10488164000014</v>
      </c>
      <c r="G15" s="333">
        <v>230.1</v>
      </c>
      <c r="H15" s="332">
        <v>1.7569999999999999</v>
      </c>
      <c r="I15" s="333">
        <v>3.1</v>
      </c>
      <c r="J15" s="333">
        <v>1.7250810000000001</v>
      </c>
      <c r="K15" s="332">
        <v>280.2</v>
      </c>
      <c r="L15" s="332">
        <v>129.76532370999999</v>
      </c>
      <c r="M15" s="333">
        <f t="shared" si="0"/>
        <v>2668.5</v>
      </c>
      <c r="N15" s="333">
        <f t="shared" si="0"/>
        <v>1129.7569442000001</v>
      </c>
    </row>
    <row r="16" spans="1:16" ht="22.5" customHeight="1">
      <c r="A16" s="115"/>
      <c r="B16" s="221" t="s">
        <v>166</v>
      </c>
      <c r="C16" s="332">
        <v>18049.3</v>
      </c>
      <c r="D16" s="332">
        <v>20403.434754100032</v>
      </c>
      <c r="E16" s="333">
        <v>5395.2</v>
      </c>
      <c r="F16" s="333">
        <v>4738.5813166999751</v>
      </c>
      <c r="G16" s="333">
        <v>331.9</v>
      </c>
      <c r="H16" s="332">
        <v>92.649130000000056</v>
      </c>
      <c r="I16" s="333">
        <v>746</v>
      </c>
      <c r="J16" s="333">
        <v>538.96608200000003</v>
      </c>
      <c r="K16" s="332">
        <v>1447.4</v>
      </c>
      <c r="L16" s="332">
        <v>1594.4532216300004</v>
      </c>
      <c r="M16" s="333">
        <f t="shared" si="0"/>
        <v>25969.800000000003</v>
      </c>
      <c r="N16" s="333">
        <f t="shared" si="0"/>
        <v>27368.084504430008</v>
      </c>
    </row>
    <row r="17" spans="2:14">
      <c r="B17" s="219" t="s">
        <v>15</v>
      </c>
      <c r="C17" s="334">
        <f t="shared" ref="C17:N17" si="1">SUM(C12:C16)</f>
        <v>172002.50000000003</v>
      </c>
      <c r="D17" s="334">
        <f t="shared" si="1"/>
        <v>189459.78537411994</v>
      </c>
      <c r="E17" s="334">
        <f t="shared" si="1"/>
        <v>58763.6</v>
      </c>
      <c r="F17" s="335">
        <f t="shared" si="1"/>
        <v>42728.901887229935</v>
      </c>
      <c r="G17" s="335">
        <f t="shared" si="1"/>
        <v>3597.4</v>
      </c>
      <c r="H17" s="334">
        <f t="shared" si="1"/>
        <v>921.85431177000009</v>
      </c>
      <c r="I17" s="335">
        <f t="shared" si="1"/>
        <v>8327.7000000000007</v>
      </c>
      <c r="J17" s="335">
        <f t="shared" si="1"/>
        <v>7069.5314159999998</v>
      </c>
      <c r="K17" s="335">
        <f t="shared" si="1"/>
        <v>20513.300000000003</v>
      </c>
      <c r="L17" s="335">
        <f t="shared" si="1"/>
        <v>19911.218892789999</v>
      </c>
      <c r="M17" s="335">
        <f t="shared" si="1"/>
        <v>263204.5</v>
      </c>
      <c r="N17" s="335">
        <f t="shared" si="1"/>
        <v>260091.29188190983</v>
      </c>
    </row>
    <row r="18" spans="2:14">
      <c r="B18" s="99" t="s">
        <v>84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</row>
    <row r="19" spans="2:14">
      <c r="D19" s="83"/>
      <c r="E19" s="94"/>
      <c r="F19" s="83"/>
      <c r="G19" s="94"/>
      <c r="H19" s="83"/>
      <c r="I19" s="94"/>
      <c r="J19" s="83"/>
      <c r="K19" s="94"/>
      <c r="L19" s="83"/>
    </row>
    <row r="21" spans="2:14">
      <c r="N21" s="84"/>
    </row>
    <row r="26" spans="2:14">
      <c r="E26" s="66"/>
    </row>
    <row r="27" spans="2:14">
      <c r="G27" s="114"/>
    </row>
    <row r="29" spans="2:14">
      <c r="I29" s="83"/>
      <c r="M29" s="84"/>
    </row>
    <row r="30" spans="2:14" ht="59.25" customHeight="1"/>
  </sheetData>
  <mergeCells count="13">
    <mergeCell ref="A1:P1"/>
    <mergeCell ref="A2:P2"/>
    <mergeCell ref="A3:P3"/>
    <mergeCell ref="A5:P5"/>
    <mergeCell ref="A6:P6"/>
    <mergeCell ref="A7:P7"/>
    <mergeCell ref="A8:P8"/>
    <mergeCell ref="I10:J10"/>
    <mergeCell ref="K10:L10"/>
    <mergeCell ref="M10:N10"/>
    <mergeCell ref="C10:D10"/>
    <mergeCell ref="E10:F10"/>
    <mergeCell ref="G10:H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showGridLines="0" zoomScaleNormal="100" workbookViewId="0">
      <selection activeCell="E23" sqref="E23"/>
    </sheetView>
  </sheetViews>
  <sheetFormatPr baseColWidth="10" defaultColWidth="11.42578125" defaultRowHeight="15"/>
  <cols>
    <col min="1" max="1" width="11.42578125" style="19"/>
    <col min="2" max="2" width="12.5703125" style="67" customWidth="1"/>
    <col min="3" max="3" width="27.42578125" style="67" customWidth="1"/>
    <col min="4" max="4" width="12.85546875" style="67" customWidth="1"/>
    <col min="5" max="5" width="12.42578125" style="67" customWidth="1"/>
    <col min="6" max="6" width="13.140625" style="19" bestFit="1" customWidth="1"/>
    <col min="7" max="16384" width="11.42578125" style="19"/>
  </cols>
  <sheetData>
    <row r="1" spans="2:13" ht="15.75" thickBot="1"/>
    <row r="2" spans="2:13" ht="15.75" customHeight="1">
      <c r="B2" s="269" t="s">
        <v>138</v>
      </c>
      <c r="C2" s="270"/>
      <c r="D2" s="273" t="s">
        <v>223</v>
      </c>
      <c r="E2" s="273" t="s">
        <v>224</v>
      </c>
      <c r="G2" s="102" t="s">
        <v>197</v>
      </c>
    </row>
    <row r="3" spans="2:13" ht="15.75" thickBot="1">
      <c r="B3" s="271"/>
      <c r="C3" s="272"/>
      <c r="D3" s="274"/>
      <c r="E3" s="274"/>
      <c r="G3" s="19" t="s">
        <v>199</v>
      </c>
    </row>
    <row r="4" spans="2:13">
      <c r="B4" s="275" t="s">
        <v>137</v>
      </c>
      <c r="C4" s="82" t="s">
        <v>136</v>
      </c>
      <c r="D4" s="81">
        <v>169.25637313224067</v>
      </c>
      <c r="E4" s="80">
        <v>170.70030923360324</v>
      </c>
      <c r="G4" s="261" t="s">
        <v>200</v>
      </c>
      <c r="H4" s="261"/>
      <c r="I4" s="261"/>
      <c r="J4" s="261"/>
      <c r="K4" s="261"/>
      <c r="L4" s="261"/>
      <c r="M4" s="261"/>
    </row>
    <row r="5" spans="2:13">
      <c r="B5" s="276"/>
      <c r="C5" s="72" t="s">
        <v>135</v>
      </c>
      <c r="D5" s="71">
        <v>5</v>
      </c>
      <c r="E5" s="78">
        <v>6</v>
      </c>
      <c r="G5" s="261"/>
      <c r="H5" s="261"/>
      <c r="I5" s="261"/>
      <c r="J5" s="261"/>
      <c r="K5" s="261"/>
      <c r="L5" s="261"/>
      <c r="M5" s="261"/>
    </row>
    <row r="6" spans="2:13" ht="6.75" customHeight="1">
      <c r="B6" s="77"/>
      <c r="C6" s="76"/>
      <c r="D6" s="75"/>
      <c r="E6" s="74"/>
    </row>
    <row r="7" spans="2:13">
      <c r="B7" s="276" t="s">
        <v>134</v>
      </c>
      <c r="C7" s="72" t="s">
        <v>133</v>
      </c>
      <c r="D7" s="71">
        <v>3867477.3514354648</v>
      </c>
      <c r="E7" s="70">
        <v>3954408.8919281401</v>
      </c>
    </row>
    <row r="8" spans="2:13">
      <c r="B8" s="276"/>
      <c r="C8" s="72" t="s">
        <v>132</v>
      </c>
      <c r="D8" s="79">
        <v>8.6749999999999883</v>
      </c>
      <c r="E8" s="78">
        <v>9.4450000000000145</v>
      </c>
    </row>
    <row r="9" spans="2:13">
      <c r="B9" s="276"/>
      <c r="C9" s="72" t="s">
        <v>131</v>
      </c>
      <c r="D9" s="71">
        <v>77088.064314554329</v>
      </c>
      <c r="E9" s="70">
        <v>78820.817625178199</v>
      </c>
    </row>
    <row r="10" spans="2:13">
      <c r="B10" s="276"/>
      <c r="C10" s="72" t="s">
        <v>130</v>
      </c>
      <c r="D10" s="71">
        <v>4.4951923076923084</v>
      </c>
      <c r="E10" s="70">
        <v>3.6596647058379839</v>
      </c>
    </row>
    <row r="11" spans="2:13" ht="6.75" customHeight="1">
      <c r="B11" s="77"/>
      <c r="C11" s="76"/>
      <c r="D11" s="75"/>
      <c r="E11" s="74"/>
    </row>
    <row r="12" spans="2:13">
      <c r="B12" s="276" t="s">
        <v>129</v>
      </c>
      <c r="C12" s="72" t="s">
        <v>2</v>
      </c>
      <c r="D12" s="79">
        <v>4</v>
      </c>
      <c r="E12" s="78">
        <v>4</v>
      </c>
    </row>
    <row r="13" spans="2:13">
      <c r="B13" s="276"/>
      <c r="C13" s="72" t="s">
        <v>3</v>
      </c>
      <c r="D13" s="79">
        <v>4</v>
      </c>
      <c r="E13" s="78">
        <v>4</v>
      </c>
      <c r="F13" s="73"/>
      <c r="G13" s="73"/>
      <c r="H13" s="73"/>
      <c r="I13" s="73"/>
    </row>
    <row r="14" spans="2:13">
      <c r="B14" s="276"/>
      <c r="C14" s="72" t="s">
        <v>4</v>
      </c>
      <c r="D14" s="79">
        <v>4</v>
      </c>
      <c r="E14" s="78">
        <v>3.75</v>
      </c>
      <c r="F14" s="73"/>
      <c r="G14" s="73"/>
      <c r="H14" s="73"/>
      <c r="I14" s="73"/>
    </row>
    <row r="15" spans="2:13">
      <c r="B15" s="276"/>
      <c r="C15" s="72" t="s">
        <v>5</v>
      </c>
      <c r="D15" s="79">
        <v>3.5</v>
      </c>
      <c r="E15" s="78">
        <v>3.25</v>
      </c>
      <c r="F15" s="73"/>
      <c r="G15" s="73"/>
      <c r="H15" s="73"/>
      <c r="I15" s="73"/>
    </row>
    <row r="16" spans="2:13" ht="6.75" customHeight="1">
      <c r="B16" s="77"/>
      <c r="C16" s="76"/>
      <c r="D16" s="75"/>
      <c r="E16" s="74"/>
      <c r="F16" s="73"/>
      <c r="G16" s="73"/>
      <c r="H16" s="73"/>
      <c r="I16" s="73"/>
    </row>
    <row r="17" spans="2:9">
      <c r="B17" s="276" t="s">
        <v>128</v>
      </c>
      <c r="C17" s="72" t="s">
        <v>6</v>
      </c>
      <c r="D17" s="79">
        <v>50.169600000000003</v>
      </c>
      <c r="E17" s="78">
        <v>50.169600000000003</v>
      </c>
      <c r="F17" s="73"/>
      <c r="G17" s="73"/>
      <c r="H17" s="73"/>
      <c r="I17" s="73"/>
    </row>
    <row r="18" spans="2:9">
      <c r="B18" s="276"/>
      <c r="C18" s="72" t="s">
        <v>7</v>
      </c>
      <c r="D18" s="79">
        <v>4.0000000000000036</v>
      </c>
      <c r="E18" s="78">
        <v>5.4714402842306775</v>
      </c>
      <c r="F18" s="73"/>
      <c r="G18" s="73"/>
      <c r="H18" s="73"/>
      <c r="I18" s="73"/>
    </row>
    <row r="19" spans="2:9">
      <c r="B19" s="276"/>
      <c r="C19" s="72" t="s">
        <v>8</v>
      </c>
      <c r="D19" s="79">
        <v>51.053600000000003</v>
      </c>
      <c r="E19" s="78">
        <v>51.053600000000003</v>
      </c>
      <c r="F19" s="73"/>
      <c r="G19" s="73"/>
      <c r="H19" s="73"/>
      <c r="I19" s="73"/>
    </row>
    <row r="20" spans="2:9">
      <c r="B20" s="276"/>
      <c r="C20" s="72" t="s">
        <v>7</v>
      </c>
      <c r="D20" s="79">
        <v>4.0000000000000036</v>
      </c>
      <c r="E20" s="78">
        <v>5.8077191702607056</v>
      </c>
      <c r="F20" s="73"/>
      <c r="G20" s="73"/>
      <c r="H20" s="73"/>
      <c r="I20" s="73"/>
    </row>
    <row r="21" spans="2:9" ht="6" customHeight="1">
      <c r="B21" s="77"/>
      <c r="C21" s="76"/>
      <c r="D21" s="75"/>
      <c r="E21" s="74"/>
      <c r="F21" s="73"/>
      <c r="G21" s="73"/>
      <c r="H21" s="73"/>
      <c r="I21" s="73"/>
    </row>
    <row r="22" spans="2:9">
      <c r="B22" s="267" t="s">
        <v>127</v>
      </c>
      <c r="C22" s="72" t="s">
        <v>126</v>
      </c>
      <c r="D22" s="79">
        <v>48.627499999999998</v>
      </c>
      <c r="E22" s="78">
        <v>65.464916666666667</v>
      </c>
      <c r="F22" s="101"/>
      <c r="G22" s="73"/>
      <c r="H22" s="73"/>
      <c r="I22" s="73"/>
    </row>
    <row r="23" spans="2:9">
      <c r="B23" s="267"/>
      <c r="C23" s="72" t="s">
        <v>125</v>
      </c>
      <c r="D23" s="79">
        <v>49.153540772619806</v>
      </c>
      <c r="E23" s="78">
        <v>63.905250000000002</v>
      </c>
      <c r="F23" s="111"/>
      <c r="G23" s="73"/>
      <c r="H23" s="73"/>
      <c r="I23" s="73"/>
    </row>
    <row r="24" spans="2:9">
      <c r="B24" s="267"/>
      <c r="C24" s="72" t="s">
        <v>124</v>
      </c>
      <c r="D24" s="79">
        <v>1275</v>
      </c>
      <c r="E24" s="78">
        <v>1279.4822666666666</v>
      </c>
      <c r="F24" s="111"/>
      <c r="G24" s="73"/>
      <c r="H24" s="73"/>
      <c r="I24" s="73"/>
    </row>
    <row r="25" spans="2:9">
      <c r="B25" s="267"/>
      <c r="C25" s="72" t="s">
        <v>123</v>
      </c>
      <c r="D25" s="79">
        <v>11033.556074157201</v>
      </c>
      <c r="E25" s="78">
        <v>13633.154999999999</v>
      </c>
      <c r="F25" s="111"/>
      <c r="G25" s="73"/>
      <c r="H25" s="73"/>
      <c r="I25" s="73"/>
    </row>
    <row r="26" spans="2:9">
      <c r="B26" s="267"/>
      <c r="C26" s="72" t="s">
        <v>9</v>
      </c>
      <c r="D26" s="79">
        <v>2.4</v>
      </c>
      <c r="E26" s="78">
        <v>2.9</v>
      </c>
      <c r="F26" s="101"/>
      <c r="G26" s="73"/>
      <c r="H26" s="73"/>
      <c r="I26" s="73"/>
    </row>
    <row r="27" spans="2:9">
      <c r="B27" s="267"/>
      <c r="C27" s="72" t="s">
        <v>122</v>
      </c>
      <c r="D27" s="79">
        <v>2</v>
      </c>
      <c r="E27" s="78">
        <v>2.5</v>
      </c>
      <c r="F27" s="101"/>
      <c r="G27" s="73"/>
      <c r="H27" s="73"/>
      <c r="I27" s="73"/>
    </row>
    <row r="28" spans="2:9" ht="15.75" thickBot="1">
      <c r="B28" s="268"/>
      <c r="C28" s="69" t="s">
        <v>121</v>
      </c>
      <c r="D28" s="112">
        <v>2.2999999999999998</v>
      </c>
      <c r="E28" s="113">
        <v>2.7</v>
      </c>
      <c r="F28" s="101"/>
      <c r="G28" s="73"/>
      <c r="H28" s="73"/>
      <c r="I28" s="73"/>
    </row>
    <row r="29" spans="2:9" ht="24.75" customHeight="1">
      <c r="B29" s="266" t="s">
        <v>225</v>
      </c>
      <c r="C29" s="266"/>
      <c r="D29" s="266"/>
      <c r="E29" s="266"/>
      <c r="F29" s="73"/>
      <c r="G29" s="73"/>
      <c r="H29" s="73"/>
      <c r="I29" s="73"/>
    </row>
  </sheetData>
  <mergeCells count="10">
    <mergeCell ref="G4:M5"/>
    <mergeCell ref="B29:E29"/>
    <mergeCell ref="B22:B28"/>
    <mergeCell ref="B2:C3"/>
    <mergeCell ref="D2:D3"/>
    <mergeCell ref="E2:E3"/>
    <mergeCell ref="B4:B5"/>
    <mergeCell ref="B7:B10"/>
    <mergeCell ref="B12:B15"/>
    <mergeCell ref="B17:B20"/>
  </mergeCells>
  <pageMargins left="0.7" right="0.7" top="0.75" bottom="0.75" header="0.3" footer="0.3"/>
  <pageSetup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zoomScale="85" zoomScaleNormal="85" workbookViewId="0">
      <selection activeCell="Q30" sqref="Q30"/>
    </sheetView>
  </sheetViews>
  <sheetFormatPr baseColWidth="10" defaultColWidth="11.42578125" defaultRowHeight="15"/>
  <cols>
    <col min="1" max="1" width="11.42578125" style="19"/>
    <col min="2" max="2" width="34.85546875" style="19" customWidth="1"/>
    <col min="3" max="4" width="14.42578125" style="19" bestFit="1" customWidth="1"/>
    <col min="5" max="5" width="16.7109375" style="19" customWidth="1"/>
    <col min="6" max="6" width="16.140625" style="19" customWidth="1"/>
    <col min="7" max="7" width="14.140625" style="19" bestFit="1" customWidth="1"/>
    <col min="8" max="8" width="16.85546875" style="19" customWidth="1"/>
    <col min="9" max="9" width="13.140625" style="19" bestFit="1" customWidth="1"/>
    <col min="10" max="16384" width="11.42578125" style="19"/>
  </cols>
  <sheetData>
    <row r="1" spans="1:9" ht="28.5" customHeight="1">
      <c r="A1" s="245" t="s">
        <v>0</v>
      </c>
      <c r="B1" s="246"/>
      <c r="C1" s="246"/>
      <c r="D1" s="246"/>
      <c r="E1" s="246"/>
      <c r="F1" s="246"/>
      <c r="G1" s="246"/>
      <c r="H1" s="246"/>
      <c r="I1" s="246"/>
    </row>
    <row r="2" spans="1:9" ht="21">
      <c r="A2" s="247" t="s">
        <v>1</v>
      </c>
      <c r="B2" s="248"/>
      <c r="C2" s="248"/>
      <c r="D2" s="248"/>
      <c r="E2" s="248"/>
      <c r="F2" s="248"/>
      <c r="G2" s="248"/>
      <c r="H2" s="248"/>
      <c r="I2" s="248"/>
    </row>
    <row r="3" spans="1:9" ht="15.75" customHeight="1">
      <c r="A3" s="280" t="s">
        <v>10</v>
      </c>
      <c r="B3" s="281"/>
      <c r="C3" s="281"/>
      <c r="D3" s="281"/>
      <c r="E3" s="281"/>
      <c r="F3" s="281"/>
      <c r="G3" s="281"/>
      <c r="H3" s="281"/>
      <c r="I3" s="281"/>
    </row>
    <row r="5" spans="1:9" ht="18.75">
      <c r="A5" s="300" t="s">
        <v>186</v>
      </c>
      <c r="B5" s="300"/>
      <c r="C5" s="300"/>
      <c r="D5" s="300"/>
      <c r="E5" s="300"/>
      <c r="F5" s="300"/>
      <c r="G5" s="300"/>
      <c r="H5" s="300"/>
      <c r="I5" s="300"/>
    </row>
    <row r="6" spans="1:9" ht="18.75">
      <c r="A6" s="300" t="s">
        <v>280</v>
      </c>
      <c r="B6" s="300"/>
      <c r="C6" s="300"/>
      <c r="D6" s="300"/>
      <c r="E6" s="300"/>
      <c r="F6" s="300"/>
      <c r="G6" s="300"/>
      <c r="H6" s="300"/>
      <c r="I6" s="300"/>
    </row>
    <row r="7" spans="1:9" ht="18.75">
      <c r="A7" s="300" t="s">
        <v>196</v>
      </c>
      <c r="B7" s="300"/>
      <c r="C7" s="300"/>
      <c r="D7" s="300"/>
      <c r="E7" s="300"/>
      <c r="F7" s="300"/>
      <c r="G7" s="300"/>
      <c r="H7" s="300"/>
      <c r="I7" s="300"/>
    </row>
    <row r="8" spans="1:9">
      <c r="A8" s="320" t="s">
        <v>12</v>
      </c>
      <c r="B8" s="320"/>
      <c r="C8" s="320"/>
      <c r="D8" s="320"/>
      <c r="E8" s="320"/>
      <c r="F8" s="320"/>
      <c r="G8" s="320"/>
      <c r="H8" s="320"/>
      <c r="I8" s="320"/>
    </row>
    <row r="9" spans="1:9">
      <c r="H9" s="90"/>
    </row>
    <row r="10" spans="1:9" ht="14.45" customHeight="1">
      <c r="B10" s="327" t="s">
        <v>158</v>
      </c>
      <c r="C10" s="328" t="s">
        <v>159</v>
      </c>
      <c r="D10" s="327"/>
      <c r="E10" s="328" t="s">
        <v>168</v>
      </c>
      <c r="F10" s="327"/>
      <c r="G10" s="325" t="s">
        <v>160</v>
      </c>
      <c r="H10" s="326"/>
    </row>
    <row r="11" spans="1:9" ht="24" customHeight="1">
      <c r="B11" s="327"/>
      <c r="C11" s="244" t="s">
        <v>117</v>
      </c>
      <c r="D11" s="225" t="s">
        <v>164</v>
      </c>
      <c r="E11" s="244" t="s">
        <v>117</v>
      </c>
      <c r="F11" s="225" t="s">
        <v>164</v>
      </c>
      <c r="G11" s="244" t="s">
        <v>117</v>
      </c>
      <c r="H11" s="225" t="s">
        <v>164</v>
      </c>
    </row>
    <row r="12" spans="1:9" ht="15.75">
      <c r="B12" s="224" t="s">
        <v>13</v>
      </c>
      <c r="C12" s="337">
        <v>168698.738633</v>
      </c>
      <c r="D12" s="337">
        <v>157239.81633253986</v>
      </c>
      <c r="E12" s="339">
        <v>513162</v>
      </c>
      <c r="F12" s="337">
        <v>540162</v>
      </c>
      <c r="G12" s="337">
        <f>(+(C12/E12)/13)*1000000</f>
        <v>25287.971534705041</v>
      </c>
      <c r="H12" s="337">
        <f>(+(D12/F12)/13)*1000000</f>
        <v>22392.116600424411</v>
      </c>
    </row>
    <row r="13" spans="1:9" ht="31.5">
      <c r="B13" s="224" t="s">
        <v>38</v>
      </c>
      <c r="C13" s="337">
        <v>22244.655169000001</v>
      </c>
      <c r="D13" s="337">
        <v>9543.4013115000016</v>
      </c>
      <c r="E13" s="339">
        <v>44454</v>
      </c>
      <c r="F13" s="337">
        <v>29352</v>
      </c>
      <c r="G13" s="337">
        <f>(+(C13/E13)/13)*1000000</f>
        <v>38492.088916459878</v>
      </c>
      <c r="H13" s="337">
        <f>(+(D13/F13)/13)*1000000</f>
        <v>25010.486276652624</v>
      </c>
    </row>
    <row r="14" spans="1:9" ht="15.75">
      <c r="B14" s="224" t="s">
        <v>172</v>
      </c>
      <c r="C14" s="337">
        <v>2521.0378409999998</v>
      </c>
      <c r="D14" s="337">
        <v>697.82043796000005</v>
      </c>
      <c r="E14" s="339">
        <v>11736</v>
      </c>
      <c r="F14" s="337">
        <v>10551.787240319225</v>
      </c>
      <c r="G14" s="337">
        <f>(+(C14/E14)/13)*1000000</f>
        <v>16524.027587698598</v>
      </c>
      <c r="H14" s="337">
        <f>(+(D14/F14)/13)*1000000</f>
        <v>5087.1472296733273</v>
      </c>
    </row>
    <row r="15" spans="1:9" ht="15.75">
      <c r="B15" s="224" t="s">
        <v>41</v>
      </c>
      <c r="C15" s="337">
        <v>7224.3250209999997</v>
      </c>
      <c r="D15" s="337">
        <v>6273.2211269999998</v>
      </c>
      <c r="E15" s="339">
        <v>49434</v>
      </c>
      <c r="F15" s="337">
        <v>50683</v>
      </c>
      <c r="G15" s="337">
        <f>(+(C15/E15)/13)*1000000</f>
        <v>11241.601110727279</v>
      </c>
      <c r="H15" s="337">
        <f>(+(D15/F15)/13)*1000000</f>
        <v>9521.0518577766179</v>
      </c>
    </row>
    <row r="16" spans="1:9" ht="15.75">
      <c r="B16" s="224" t="s">
        <v>14</v>
      </c>
      <c r="C16" s="337">
        <v>16355.942653</v>
      </c>
      <c r="D16" s="337">
        <v>16155.273962599998</v>
      </c>
      <c r="E16" s="339">
        <v>29180</v>
      </c>
      <c r="F16" s="337">
        <v>27798</v>
      </c>
      <c r="G16" s="337">
        <f>(+(C16/E16)/13)*1000000</f>
        <v>43116.841495755783</v>
      </c>
      <c r="H16" s="337">
        <f>(+(D16/F16)/13)*1000000</f>
        <v>44705.136403283024</v>
      </c>
    </row>
    <row r="17" spans="2:9" ht="18.75">
      <c r="B17" s="223" t="s">
        <v>154</v>
      </c>
      <c r="C17" s="338">
        <f>SUM(C12:C16)</f>
        <v>217044.69931700002</v>
      </c>
      <c r="D17" s="338">
        <f>SUM(D12:D16)</f>
        <v>189909.53317159988</v>
      </c>
      <c r="E17" s="338">
        <f>SUM(E12:E16)</f>
        <v>647966</v>
      </c>
      <c r="F17" s="338">
        <f>SUM(F12:F16)</f>
        <v>658546.78724031919</v>
      </c>
      <c r="G17" s="338">
        <f>(+(C17/E17)/13)*1000000</f>
        <v>25766.392220128364</v>
      </c>
      <c r="H17" s="338">
        <f>(+(D17/F17)/13)*1000000</f>
        <v>22182.821193012132</v>
      </c>
    </row>
    <row r="18" spans="2:9">
      <c r="B18" s="336" t="s">
        <v>161</v>
      </c>
      <c r="C18" s="336"/>
      <c r="D18" s="336"/>
      <c r="E18" s="336"/>
      <c r="F18" s="336"/>
      <c r="G18" s="336"/>
      <c r="H18" s="336"/>
    </row>
    <row r="20" spans="2:9">
      <c r="C20" s="91"/>
      <c r="D20" s="91"/>
      <c r="E20" s="91"/>
      <c r="F20" s="91"/>
      <c r="G20" s="84"/>
      <c r="H20" s="84"/>
    </row>
    <row r="21" spans="2:9">
      <c r="C21" s="91"/>
      <c r="D21" s="91"/>
      <c r="E21" s="91"/>
      <c r="F21" s="91"/>
      <c r="G21" s="84"/>
      <c r="H21" s="84"/>
    </row>
    <row r="22" spans="2:9">
      <c r="C22" s="91"/>
      <c r="D22" s="91"/>
      <c r="E22" s="91"/>
      <c r="F22" s="91"/>
    </row>
    <row r="23" spans="2:9">
      <c r="C23" s="91"/>
      <c r="D23" s="91"/>
      <c r="E23" s="91"/>
      <c r="F23" s="91"/>
    </row>
    <row r="25" spans="2:9">
      <c r="I25" s="66"/>
    </row>
    <row r="26" spans="2:9">
      <c r="D26" s="66"/>
    </row>
    <row r="42" spans="3:8">
      <c r="C42" s="91"/>
      <c r="D42" s="91"/>
      <c r="E42" s="91"/>
      <c r="F42" s="91"/>
      <c r="G42" s="84"/>
      <c r="H42" s="84"/>
    </row>
    <row r="43" spans="3:8">
      <c r="C43" s="91"/>
      <c r="D43" s="91"/>
      <c r="E43" s="91"/>
      <c r="F43" s="91"/>
      <c r="G43" s="84"/>
      <c r="H43" s="84"/>
    </row>
    <row r="44" spans="3:8">
      <c r="C44" s="91"/>
      <c r="D44" s="91"/>
      <c r="E44" s="91"/>
      <c r="F44" s="91"/>
    </row>
    <row r="64" spans="3:8">
      <c r="C64" s="91"/>
      <c r="D64" s="91"/>
      <c r="E64" s="91"/>
      <c r="F64" s="91"/>
      <c r="G64" s="84"/>
      <c r="H64" s="84"/>
    </row>
    <row r="65" spans="3:8">
      <c r="C65" s="91"/>
      <c r="D65" s="91"/>
      <c r="E65" s="91"/>
      <c r="F65" s="91"/>
      <c r="G65" s="84"/>
      <c r="H65" s="84"/>
    </row>
    <row r="66" spans="3:8">
      <c r="C66" s="91"/>
      <c r="D66" s="91"/>
      <c r="E66" s="91"/>
      <c r="F66" s="91"/>
    </row>
  </sheetData>
  <mergeCells count="12">
    <mergeCell ref="A2:I2"/>
    <mergeCell ref="A1:I1"/>
    <mergeCell ref="C10:D10"/>
    <mergeCell ref="E10:F10"/>
    <mergeCell ref="G10:H10"/>
    <mergeCell ref="B18:H18"/>
    <mergeCell ref="B10:B11"/>
    <mergeCell ref="A8:I8"/>
    <mergeCell ref="A5:I5"/>
    <mergeCell ref="A6:I6"/>
    <mergeCell ref="A7:I7"/>
    <mergeCell ref="A3:I3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P29" sqref="P29"/>
    </sheetView>
  </sheetViews>
  <sheetFormatPr baseColWidth="10" defaultColWidth="11.42578125" defaultRowHeight="15"/>
  <cols>
    <col min="1" max="2" width="11.42578125" style="19" customWidth="1"/>
    <col min="3" max="3" width="8.5703125" style="19" customWidth="1"/>
    <col min="4" max="4" width="84.42578125" style="19" customWidth="1"/>
    <col min="5" max="5" width="11.140625" style="19" bestFit="1" customWidth="1"/>
    <col min="6" max="6" width="10.28515625" style="19" customWidth="1"/>
    <col min="7" max="7" width="9.85546875" style="19" customWidth="1"/>
    <col min="8" max="8" width="11.42578125" style="19"/>
    <col min="9" max="9" width="11.42578125" style="19" customWidth="1"/>
    <col min="10" max="10" width="10.28515625" style="19" customWidth="1"/>
    <col min="11" max="18" width="11.42578125" style="19"/>
    <col min="19" max="19" width="20.42578125" style="19" bestFit="1" customWidth="1"/>
    <col min="20" max="20" width="19.140625" style="19" customWidth="1"/>
    <col min="21" max="16384" width="11.42578125" style="19"/>
  </cols>
  <sheetData>
    <row r="1" spans="1:20" ht="28.5">
      <c r="A1" s="245" t="s">
        <v>0</v>
      </c>
      <c r="B1" s="246"/>
      <c r="C1" s="246"/>
      <c r="D1" s="246"/>
      <c r="E1" s="246"/>
      <c r="F1" s="246"/>
      <c r="G1" s="246"/>
      <c r="H1" s="246"/>
      <c r="I1" s="246"/>
      <c r="J1" s="28"/>
      <c r="T1" s="106"/>
    </row>
    <row r="2" spans="1:20" ht="21">
      <c r="A2" s="247" t="s">
        <v>1</v>
      </c>
      <c r="B2" s="248"/>
      <c r="C2" s="248"/>
      <c r="D2" s="248"/>
      <c r="E2" s="248"/>
      <c r="F2" s="248"/>
      <c r="G2" s="248"/>
      <c r="H2" s="248"/>
      <c r="I2" s="248"/>
      <c r="J2" s="30"/>
    </row>
    <row r="3" spans="1:20" ht="15.75">
      <c r="A3" s="281" t="s">
        <v>10</v>
      </c>
      <c r="B3" s="281"/>
      <c r="C3" s="281"/>
      <c r="D3" s="281"/>
      <c r="E3" s="281"/>
      <c r="F3" s="281"/>
      <c r="G3" s="281"/>
      <c r="H3" s="281"/>
      <c r="I3" s="281"/>
      <c r="J3" s="32"/>
    </row>
    <row r="4" spans="1:20">
      <c r="A4" s="281"/>
      <c r="B4" s="281"/>
      <c r="C4" s="281"/>
      <c r="D4" s="281"/>
      <c r="E4" s="281"/>
      <c r="F4" s="281"/>
      <c r="G4" s="281"/>
      <c r="H4" s="281"/>
      <c r="I4" s="281"/>
    </row>
    <row r="5" spans="1:20" ht="18.75">
      <c r="A5" s="301" t="s">
        <v>202</v>
      </c>
      <c r="B5" s="301"/>
      <c r="C5" s="301"/>
      <c r="D5" s="301"/>
      <c r="E5" s="301"/>
      <c r="F5" s="301"/>
      <c r="G5" s="301"/>
      <c r="H5" s="301"/>
      <c r="I5" s="301"/>
      <c r="J5" s="61"/>
    </row>
    <row r="6" spans="1:20" ht="18.75">
      <c r="A6" s="301" t="s">
        <v>196</v>
      </c>
      <c r="B6" s="301"/>
      <c r="C6" s="301"/>
      <c r="D6" s="301"/>
      <c r="E6" s="301"/>
      <c r="F6" s="301"/>
      <c r="G6" s="301"/>
      <c r="H6" s="301"/>
      <c r="I6" s="301"/>
      <c r="J6" s="110"/>
      <c r="S6" s="106"/>
    </row>
    <row r="7" spans="1:20" ht="14.45" customHeight="1">
      <c r="A7" s="321" t="s">
        <v>203</v>
      </c>
      <c r="B7" s="321"/>
      <c r="C7" s="321"/>
      <c r="D7" s="321"/>
      <c r="E7" s="321"/>
      <c r="F7" s="321"/>
      <c r="G7" s="321"/>
      <c r="H7" s="321"/>
      <c r="I7" s="321"/>
      <c r="J7" s="329"/>
      <c r="K7" s="329"/>
      <c r="L7" s="329"/>
      <c r="M7" s="329"/>
      <c r="N7" s="329"/>
      <c r="O7" s="329"/>
      <c r="P7" s="329"/>
    </row>
    <row r="8" spans="1:20" ht="28.15" customHeight="1">
      <c r="D8" s="230" t="s">
        <v>204</v>
      </c>
      <c r="E8" s="191" t="s">
        <v>230</v>
      </c>
      <c r="F8" s="191" t="s">
        <v>205</v>
      </c>
      <c r="G8" s="191" t="s">
        <v>173</v>
      </c>
      <c r="J8" s="329"/>
      <c r="K8" s="329"/>
      <c r="L8" s="329"/>
      <c r="M8" s="329"/>
      <c r="N8" s="329"/>
      <c r="O8" s="329"/>
      <c r="P8" s="329"/>
    </row>
    <row r="9" spans="1:20" ht="14.45" customHeight="1">
      <c r="D9" s="126" t="s">
        <v>206</v>
      </c>
      <c r="E9" s="211">
        <v>40528945888.940002</v>
      </c>
      <c r="F9" s="226">
        <f>+E9/$E$40</f>
        <v>0.7743746595318971</v>
      </c>
      <c r="G9" s="226">
        <v>1.0249052891740386E-2</v>
      </c>
      <c r="J9" s="329"/>
      <c r="K9" s="329"/>
      <c r="L9" s="329"/>
      <c r="M9" s="329"/>
      <c r="N9" s="329"/>
      <c r="O9" s="329"/>
      <c r="P9" s="329"/>
    </row>
    <row r="10" spans="1:20">
      <c r="D10" s="208" t="s">
        <v>207</v>
      </c>
      <c r="E10" s="212">
        <v>2367582935.52</v>
      </c>
      <c r="F10" s="227">
        <f t="shared" ref="F10:F40" si="0">+E10/$E$40</f>
        <v>4.5236711426712616E-2</v>
      </c>
      <c r="G10" s="227">
        <v>5.9871980875644457E-4</v>
      </c>
      <c r="J10" s="329"/>
      <c r="K10" s="329"/>
      <c r="L10" s="329"/>
      <c r="M10" s="329"/>
      <c r="N10" s="329"/>
      <c r="O10" s="329"/>
      <c r="P10" s="329"/>
    </row>
    <row r="11" spans="1:20">
      <c r="D11" s="208" t="s">
        <v>209</v>
      </c>
      <c r="E11" s="212">
        <v>2202649489.4800005</v>
      </c>
      <c r="F11" s="227">
        <f t="shared" si="0"/>
        <v>4.2085376539478331E-2</v>
      </c>
      <c r="G11" s="227">
        <v>5.5701106023105392E-4</v>
      </c>
      <c r="J11" s="329"/>
      <c r="K11" s="329"/>
      <c r="L11" s="329"/>
      <c r="M11" s="329"/>
      <c r="N11" s="329"/>
      <c r="O11" s="329"/>
      <c r="P11" s="329"/>
    </row>
    <row r="12" spans="1:20">
      <c r="D12" s="208" t="s">
        <v>210</v>
      </c>
      <c r="E12" s="212">
        <v>1516099636.49</v>
      </c>
      <c r="F12" s="227">
        <f t="shared" si="0"/>
        <v>2.8967670243399028E-2</v>
      </c>
      <c r="G12" s="227">
        <v>3.8339475707348036E-4</v>
      </c>
    </row>
    <row r="13" spans="1:20">
      <c r="D13" s="208" t="s">
        <v>231</v>
      </c>
      <c r="E13" s="212">
        <v>1380547551</v>
      </c>
      <c r="F13" s="227">
        <f t="shared" si="0"/>
        <v>2.6377716378381232E-2</v>
      </c>
      <c r="G13" s="227">
        <v>3.4911603446421936E-4</v>
      </c>
    </row>
    <row r="14" spans="1:20">
      <c r="D14" s="208" t="s">
        <v>211</v>
      </c>
      <c r="E14" s="212">
        <v>1287731234.5099998</v>
      </c>
      <c r="F14" s="227">
        <f t="shared" si="0"/>
        <v>2.4604302293595899E-2</v>
      </c>
      <c r="G14" s="227">
        <v>3.2564443124193755E-4</v>
      </c>
    </row>
    <row r="15" spans="1:20">
      <c r="D15" s="232" t="s">
        <v>208</v>
      </c>
      <c r="E15" s="212">
        <v>1228351350.26</v>
      </c>
      <c r="F15" s="227">
        <f t="shared" si="0"/>
        <v>2.3469748294211345E-2</v>
      </c>
      <c r="G15" s="227">
        <v>3.1062830977528606E-4</v>
      </c>
    </row>
    <row r="16" spans="1:20">
      <c r="D16" s="208" t="s">
        <v>232</v>
      </c>
      <c r="E16" s="212">
        <v>1184017293.7400014</v>
      </c>
      <c r="F16" s="227">
        <f t="shared" si="0"/>
        <v>2.2622670503996467E-2</v>
      </c>
      <c r="G16" s="227">
        <v>2.9941701177054646E-4</v>
      </c>
    </row>
    <row r="17" spans="4:7">
      <c r="D17" s="208" t="s">
        <v>233</v>
      </c>
      <c r="E17" s="212">
        <v>1000000000</v>
      </c>
      <c r="F17" s="227">
        <f t="shared" si="0"/>
        <v>1.9106706146611557E-2</v>
      </c>
      <c r="G17" s="227">
        <v>2.5288229602184805E-4</v>
      </c>
    </row>
    <row r="18" spans="4:7">
      <c r="D18" s="208" t="s">
        <v>234</v>
      </c>
      <c r="E18" s="212">
        <v>866994205.87</v>
      </c>
      <c r="F18" s="227">
        <f t="shared" si="0"/>
        <v>1.6565403522372932E-2</v>
      </c>
      <c r="G18" s="227">
        <v>2.1924748541804441E-4</v>
      </c>
    </row>
    <row r="19" spans="4:7">
      <c r="D19" s="208" t="s">
        <v>235</v>
      </c>
      <c r="E19" s="212">
        <f>+E9-(SUM(E10:E18))</f>
        <v>27494972192.07</v>
      </c>
      <c r="F19" s="227">
        <f t="shared" si="0"/>
        <v>0.52533835418313768</v>
      </c>
      <c r="G19" s="227"/>
    </row>
    <row r="20" spans="4:7">
      <c r="D20" s="126" t="s">
        <v>212</v>
      </c>
      <c r="E20" s="211">
        <v>5183829940.1200008</v>
      </c>
      <c r="F20" s="226">
        <f t="shared" si="0"/>
        <v>9.9045915379879834E-2</v>
      </c>
      <c r="G20" s="226">
        <v>1.3108988174443449E-3</v>
      </c>
    </row>
    <row r="21" spans="4:7" ht="30">
      <c r="D21" s="228" t="s">
        <v>213</v>
      </c>
      <c r="E21" s="212">
        <v>669386444.79999995</v>
      </c>
      <c r="F21" s="227">
        <f t="shared" si="0"/>
        <v>1.2789770099318616E-2</v>
      </c>
      <c r="G21" s="227">
        <v>1.6927598108692604E-4</v>
      </c>
    </row>
    <row r="22" spans="4:7">
      <c r="D22" s="229" t="s">
        <v>214</v>
      </c>
      <c r="E22" s="212">
        <v>655998332</v>
      </c>
      <c r="F22" s="227">
        <f t="shared" si="0"/>
        <v>1.2533967362191329E-2</v>
      </c>
      <c r="G22" s="227">
        <v>1.6589036438266255E-4</v>
      </c>
    </row>
    <row r="23" spans="4:7">
      <c r="D23" s="229" t="s">
        <v>236</v>
      </c>
      <c r="E23" s="212">
        <v>601411972</v>
      </c>
      <c r="F23" s="227">
        <f t="shared" si="0"/>
        <v>1.1491001822058177E-2</v>
      </c>
      <c r="G23" s="227">
        <v>1.5208644033438737E-4</v>
      </c>
    </row>
    <row r="24" spans="4:7" ht="30">
      <c r="D24" s="228" t="s">
        <v>215</v>
      </c>
      <c r="E24" s="212">
        <v>353154442.82999998</v>
      </c>
      <c r="F24" s="227">
        <f t="shared" si="0"/>
        <v>6.7476181635231398E-3</v>
      </c>
      <c r="G24" s="227">
        <v>8.9306506353166863E-5</v>
      </c>
    </row>
    <row r="25" spans="4:7">
      <c r="D25" s="229" t="s">
        <v>216</v>
      </c>
      <c r="E25" s="212">
        <v>291446608.44999999</v>
      </c>
      <c r="F25" s="227">
        <f t="shared" si="0"/>
        <v>5.5685847050807062E-3</v>
      </c>
      <c r="G25" s="227">
        <v>7.3701687512616531E-5</v>
      </c>
    </row>
    <row r="26" spans="4:7">
      <c r="D26" s="208" t="s">
        <v>235</v>
      </c>
      <c r="E26" s="212">
        <f>+E20-SUM(E21:E25)</f>
        <v>2612432140.0400009</v>
      </c>
      <c r="F26" s="227">
        <f t="shared" si="0"/>
        <v>4.9914973227707868E-2</v>
      </c>
      <c r="G26" s="227">
        <v>6.6063783777458543E-4</v>
      </c>
    </row>
    <row r="27" spans="4:7">
      <c r="D27" s="126" t="s">
        <v>217</v>
      </c>
      <c r="E27" s="211">
        <v>4881811458</v>
      </c>
      <c r="F27" s="226">
        <f t="shared" si="0"/>
        <v>9.3275336991167329E-2</v>
      </c>
      <c r="G27" s="226">
        <v>1.2345236902448055E-3</v>
      </c>
    </row>
    <row r="28" spans="4:7">
      <c r="D28" s="208" t="s">
        <v>237</v>
      </c>
      <c r="E28" s="212">
        <v>682013973</v>
      </c>
      <c r="F28" s="227">
        <f t="shared" si="0"/>
        <v>1.3031040569994068E-2</v>
      </c>
      <c r="G28" s="227">
        <v>1.7246925941122266E-4</v>
      </c>
    </row>
    <row r="29" spans="4:7">
      <c r="D29" s="208" t="s">
        <v>238</v>
      </c>
      <c r="E29" s="212">
        <v>386080848</v>
      </c>
      <c r="F29" s="227">
        <f t="shared" si="0"/>
        <v>7.3767333115706017E-3</v>
      </c>
      <c r="G29" s="227">
        <v>9.7633011292302114E-5</v>
      </c>
    </row>
    <row r="30" spans="4:7">
      <c r="D30" s="208" t="s">
        <v>239</v>
      </c>
      <c r="E30" s="212">
        <v>129864400</v>
      </c>
      <c r="F30" s="227">
        <f t="shared" si="0"/>
        <v>2.4812809297060216E-3</v>
      </c>
      <c r="G30" s="227">
        <v>3.2840407643499682E-5</v>
      </c>
    </row>
    <row r="31" spans="4:7">
      <c r="D31" s="208" t="s">
        <v>218</v>
      </c>
      <c r="E31" s="212">
        <v>124863208</v>
      </c>
      <c r="F31" s="227">
        <f t="shared" si="0"/>
        <v>2.3857246237792371E-3</v>
      </c>
      <c r="G31" s="227">
        <v>3.1575694727693581E-5</v>
      </c>
    </row>
    <row r="32" spans="4:7">
      <c r="D32" s="208" t="s">
        <v>240</v>
      </c>
      <c r="E32" s="212">
        <v>102712524</v>
      </c>
      <c r="F32" s="227">
        <f t="shared" si="0"/>
        <v>1.9624980136447871E-3</v>
      </c>
      <c r="G32" s="227">
        <v>2.5974178899319172E-5</v>
      </c>
    </row>
    <row r="33" spans="4:7">
      <c r="D33" s="208" t="s">
        <v>241</v>
      </c>
      <c r="E33" s="212">
        <v>82771781</v>
      </c>
      <c r="F33" s="227">
        <f t="shared" si="0"/>
        <v>1.5814960967986855E-3</v>
      </c>
      <c r="G33" s="227">
        <v>2.0931518025097576E-5</v>
      </c>
    </row>
    <row r="34" spans="4:7">
      <c r="D34" s="208" t="s">
        <v>235</v>
      </c>
      <c r="E34" s="212">
        <f>+E27-SUM(E28:E33)</f>
        <v>3373504724</v>
      </c>
      <c r="F34" s="227">
        <f t="shared" si="0"/>
        <v>6.4456563445673923E-2</v>
      </c>
      <c r="G34" s="227">
        <v>8.5309962024567075E-4</v>
      </c>
    </row>
    <row r="35" spans="4:7">
      <c r="D35" s="126" t="s">
        <v>219</v>
      </c>
      <c r="E35" s="211">
        <v>1743057533.9099996</v>
      </c>
      <c r="F35" s="226">
        <f t="shared" si="0"/>
        <v>3.3304088097055769E-2</v>
      </c>
      <c r="G35" s="226">
        <v>4.4078839127334094E-4</v>
      </c>
    </row>
    <row r="36" spans="4:7" ht="25.5">
      <c r="D36" s="116" t="s">
        <v>220</v>
      </c>
      <c r="E36" s="212">
        <v>1492527931.1099997</v>
      </c>
      <c r="F36" s="227">
        <f t="shared" si="0"/>
        <v>2.8517292595328859E-2</v>
      </c>
      <c r="G36" s="227">
        <v>3.7743389009583535E-4</v>
      </c>
    </row>
    <row r="37" spans="4:7">
      <c r="D37" s="116" t="s">
        <v>221</v>
      </c>
      <c r="E37" s="212">
        <v>170841938.72999999</v>
      </c>
      <c r="F37" s="227">
        <f t="shared" si="0"/>
        <v>3.2642267208315258E-3</v>
      </c>
      <c r="G37" s="227">
        <v>4.3202901722866281E-5</v>
      </c>
    </row>
    <row r="38" spans="4:7">
      <c r="D38" s="116" t="s">
        <v>222</v>
      </c>
      <c r="E38" s="212">
        <v>40143227.870000005</v>
      </c>
      <c r="F38" s="227">
        <f t="shared" si="0"/>
        <v>7.6700485868855738E-4</v>
      </c>
      <c r="G38" s="227">
        <v>1.0151511633493842E-5</v>
      </c>
    </row>
    <row r="39" spans="4:7">
      <c r="D39" s="116" t="s">
        <v>235</v>
      </c>
      <c r="E39" s="212">
        <f>+E35-SUM(E36:E38)</f>
        <v>39544436.200000048</v>
      </c>
      <c r="F39" s="227">
        <f t="shared" si="0"/>
        <v>7.5556392220682946E-4</v>
      </c>
      <c r="G39" s="227">
        <v>1.0000087821145495E-5</v>
      </c>
    </row>
    <row r="40" spans="4:7">
      <c r="D40" s="209" t="s">
        <v>15</v>
      </c>
      <c r="E40" s="210">
        <f>+E9+E35+E27+E20</f>
        <v>52337644820.970001</v>
      </c>
      <c r="F40" s="231">
        <f t="shared" si="0"/>
        <v>1</v>
      </c>
      <c r="G40" s="231">
        <v>1.3235263790702877E-2</v>
      </c>
    </row>
    <row r="41" spans="4:7">
      <c r="D41" s="108" t="s">
        <v>84</v>
      </c>
    </row>
  </sheetData>
  <mergeCells count="7">
    <mergeCell ref="J7:P11"/>
    <mergeCell ref="A1:I1"/>
    <mergeCell ref="A2:I2"/>
    <mergeCell ref="A3:I4"/>
    <mergeCell ref="A5:I5"/>
    <mergeCell ref="A6:I6"/>
    <mergeCell ref="A7:I7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zoomScaleNormal="100" workbookViewId="0">
      <selection activeCell="L18" sqref="L18"/>
    </sheetView>
  </sheetViews>
  <sheetFormatPr baseColWidth="10" defaultColWidth="11.42578125" defaultRowHeight="15"/>
  <cols>
    <col min="1" max="3" width="11.42578125" style="19" customWidth="1"/>
    <col min="4" max="4" width="22.42578125" style="19" customWidth="1"/>
    <col min="5" max="5" width="52" style="19" customWidth="1"/>
    <col min="6" max="6" width="13.42578125" style="19" customWidth="1"/>
    <col min="7" max="7" width="18.5703125" style="19" customWidth="1"/>
    <col min="8" max="8" width="30.42578125" style="19" customWidth="1"/>
    <col min="9" max="16384" width="11.42578125" style="19"/>
  </cols>
  <sheetData>
    <row r="1" spans="1:13" ht="28.5" customHeight="1">
      <c r="A1" s="245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7"/>
      <c r="M1" s="28"/>
    </row>
    <row r="2" spans="1:13" ht="21">
      <c r="A2" s="247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9"/>
      <c r="M2" s="30"/>
    </row>
    <row r="3" spans="1:13" ht="15.75" customHeight="1">
      <c r="A3" s="280" t="s">
        <v>10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31"/>
      <c r="M3" s="32"/>
    </row>
    <row r="5" spans="1:13" ht="18.75">
      <c r="A5" s="283" t="s">
        <v>246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34"/>
      <c r="M5" s="235"/>
    </row>
    <row r="6" spans="1:13" ht="75.75" customHeight="1">
      <c r="D6" s="1" t="s">
        <v>247</v>
      </c>
      <c r="E6" s="236" t="s">
        <v>248</v>
      </c>
      <c r="F6" s="1" t="s">
        <v>249</v>
      </c>
      <c r="G6" s="236" t="s">
        <v>250</v>
      </c>
      <c r="H6" s="236" t="s">
        <v>198</v>
      </c>
    </row>
    <row r="7" spans="1:13" ht="38.25" hidden="1">
      <c r="D7" s="237" t="s">
        <v>251</v>
      </c>
      <c r="E7" s="238" t="s">
        <v>252</v>
      </c>
      <c r="F7" s="239" t="s">
        <v>253</v>
      </c>
      <c r="G7" s="239" t="s">
        <v>253</v>
      </c>
      <c r="H7" s="240" t="s">
        <v>254</v>
      </c>
    </row>
    <row r="8" spans="1:13" ht="51">
      <c r="D8" s="237" t="s">
        <v>255</v>
      </c>
      <c r="E8" s="238" t="s">
        <v>256</v>
      </c>
      <c r="F8" s="239" t="s">
        <v>257</v>
      </c>
      <c r="G8" s="239" t="s">
        <v>253</v>
      </c>
      <c r="H8" s="240" t="s">
        <v>258</v>
      </c>
    </row>
    <row r="9" spans="1:13" ht="89.25">
      <c r="D9" s="237" t="s">
        <v>259</v>
      </c>
      <c r="E9" s="238" t="s">
        <v>260</v>
      </c>
      <c r="F9" s="239" t="s">
        <v>257</v>
      </c>
      <c r="G9" s="239" t="s">
        <v>257</v>
      </c>
      <c r="H9" s="240"/>
    </row>
    <row r="10" spans="1:13" ht="38.25" hidden="1">
      <c r="D10" s="237" t="s">
        <v>261</v>
      </c>
      <c r="E10" s="238" t="s">
        <v>256</v>
      </c>
      <c r="F10" s="239" t="s">
        <v>253</v>
      </c>
      <c r="G10" s="239" t="s">
        <v>253</v>
      </c>
      <c r="H10" s="240" t="s">
        <v>254</v>
      </c>
    </row>
    <row r="11" spans="1:13" ht="38.25">
      <c r="D11" s="237" t="s">
        <v>262</v>
      </c>
      <c r="E11" s="238" t="s">
        <v>263</v>
      </c>
      <c r="F11" s="239" t="s">
        <v>257</v>
      </c>
      <c r="G11" s="239" t="s">
        <v>264</v>
      </c>
      <c r="H11" s="240" t="s">
        <v>265</v>
      </c>
    </row>
    <row r="12" spans="1:13" ht="51" hidden="1">
      <c r="D12" s="237" t="s">
        <v>266</v>
      </c>
      <c r="E12" s="238" t="s">
        <v>267</v>
      </c>
      <c r="F12" s="239" t="s">
        <v>253</v>
      </c>
      <c r="G12" s="239" t="s">
        <v>253</v>
      </c>
      <c r="H12" s="240" t="s">
        <v>254</v>
      </c>
    </row>
    <row r="13" spans="1:13" ht="51">
      <c r="D13" s="237" t="s">
        <v>268</v>
      </c>
      <c r="E13" s="238" t="s">
        <v>269</v>
      </c>
      <c r="F13" s="241" t="s">
        <v>257</v>
      </c>
      <c r="G13" s="241" t="s">
        <v>257</v>
      </c>
      <c r="H13" s="240"/>
    </row>
    <row r="14" spans="1:13" ht="63.75" hidden="1">
      <c r="D14" s="242" t="s">
        <v>270</v>
      </c>
      <c r="E14" s="238" t="s">
        <v>271</v>
      </c>
      <c r="F14" s="239" t="s">
        <v>253</v>
      </c>
      <c r="G14" s="239" t="s">
        <v>253</v>
      </c>
      <c r="H14" s="240" t="s">
        <v>272</v>
      </c>
    </row>
    <row r="15" spans="1:13" ht="63.75" hidden="1">
      <c r="D15" s="237" t="s">
        <v>273</v>
      </c>
      <c r="E15" s="243" t="s">
        <v>274</v>
      </c>
      <c r="F15" s="239" t="s">
        <v>253</v>
      </c>
      <c r="G15" s="239" t="s">
        <v>253</v>
      </c>
      <c r="H15" s="240" t="s">
        <v>254</v>
      </c>
    </row>
    <row r="16" spans="1:13">
      <c r="D16" s="330" t="s">
        <v>275</v>
      </c>
      <c r="E16" s="330"/>
      <c r="F16" s="330"/>
      <c r="G16" s="330"/>
      <c r="H16" s="330"/>
    </row>
    <row r="17" spans="4:8" ht="15" customHeight="1">
      <c r="D17" s="299" t="s">
        <v>276</v>
      </c>
      <c r="E17" s="299"/>
      <c r="F17" s="299"/>
      <c r="G17" s="299"/>
      <c r="H17" s="299"/>
    </row>
  </sheetData>
  <mergeCells count="6">
    <mergeCell ref="D17:H17"/>
    <mergeCell ref="A1:K1"/>
    <mergeCell ref="A2:K2"/>
    <mergeCell ref="A3:K3"/>
    <mergeCell ref="A5:K5"/>
    <mergeCell ref="D16:H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2"/>
  <sheetViews>
    <sheetView showGridLines="0" workbookViewId="0">
      <selection activeCell="K34" sqref="K34"/>
    </sheetView>
  </sheetViews>
  <sheetFormatPr baseColWidth="10" defaultColWidth="11.42578125" defaultRowHeight="15"/>
  <cols>
    <col min="1" max="1" width="42.140625" customWidth="1"/>
    <col min="2" max="2" width="16" hidden="1" customWidth="1"/>
    <col min="3" max="3" width="14.42578125" style="19" customWidth="1"/>
    <col min="4" max="4" width="17" hidden="1" customWidth="1"/>
    <col min="5" max="5" width="17" style="19" customWidth="1"/>
    <col min="6" max="6" width="14.140625" hidden="1" customWidth="1"/>
    <col min="7" max="7" width="14.140625" style="19" customWidth="1"/>
    <col min="8" max="8" width="12.42578125" hidden="1" customWidth="1"/>
    <col min="9" max="9" width="10.5703125" style="19" customWidth="1"/>
    <col min="10" max="10" width="13.5703125" hidden="1" customWidth="1"/>
    <col min="11" max="11" width="11.7109375" style="19" customWidth="1"/>
    <col min="12" max="12" width="12.5703125" hidden="1" customWidth="1"/>
    <col min="13" max="13" width="12.42578125" style="19" customWidth="1"/>
    <col min="14" max="14" width="12.28515625" hidden="1" customWidth="1"/>
    <col min="17" max="17" width="12" bestFit="1" customWidth="1"/>
    <col min="19" max="19" width="16.28515625" customWidth="1"/>
  </cols>
  <sheetData>
    <row r="1" spans="1:28" ht="28.5" customHeight="1">
      <c r="A1" s="245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7"/>
      <c r="Q1" s="27"/>
      <c r="R1" s="27"/>
    </row>
    <row r="2" spans="1:28" ht="21">
      <c r="A2" s="247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9"/>
      <c r="Q2" s="29"/>
      <c r="R2" s="29"/>
    </row>
    <row r="3" spans="1:28" ht="15.75" customHeight="1">
      <c r="A3" s="280" t="s">
        <v>10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31"/>
      <c r="Q3" s="31"/>
      <c r="R3" s="31"/>
    </row>
    <row r="4" spans="1:28" ht="15" customHeight="1">
      <c r="A4" s="19"/>
      <c r="B4" s="19"/>
      <c r="D4" s="19"/>
      <c r="F4" s="19"/>
      <c r="H4" s="19"/>
      <c r="J4" s="19"/>
      <c r="L4" s="19"/>
      <c r="N4" s="19"/>
      <c r="O4" s="19"/>
      <c r="P4" s="19"/>
      <c r="Q4" s="19"/>
      <c r="R4" s="19"/>
    </row>
    <row r="5" spans="1:28" ht="18.75" customHeight="1">
      <c r="A5" s="278" t="s">
        <v>179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55"/>
      <c r="Q5" s="55"/>
      <c r="R5" s="55"/>
    </row>
    <row r="6" spans="1:28" ht="18.75">
      <c r="A6" s="278" t="s">
        <v>11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55"/>
      <c r="Q6" s="55"/>
      <c r="R6" s="55"/>
    </row>
    <row r="7" spans="1:28" ht="18.75">
      <c r="A7" s="278" t="s">
        <v>46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55"/>
      <c r="Q7" s="55"/>
      <c r="R7" s="55"/>
    </row>
    <row r="8" spans="1:28" s="19" customFormat="1" ht="18.75">
      <c r="A8" s="279" t="s">
        <v>12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55"/>
      <c r="Q8" s="55"/>
      <c r="R8" s="55"/>
    </row>
    <row r="9" spans="1:28" s="19" customFormat="1" ht="63.75">
      <c r="A9" s="17"/>
      <c r="B9" s="17" t="s">
        <v>13</v>
      </c>
      <c r="C9" s="17" t="s">
        <v>13</v>
      </c>
      <c r="D9" s="17" t="s">
        <v>141</v>
      </c>
      <c r="E9" s="17" t="s">
        <v>141</v>
      </c>
      <c r="F9" s="17" t="s">
        <v>157</v>
      </c>
      <c r="G9" s="17" t="s">
        <v>157</v>
      </c>
      <c r="H9" s="17" t="s">
        <v>143</v>
      </c>
      <c r="I9" s="17" t="s">
        <v>143</v>
      </c>
      <c r="J9" s="17" t="s">
        <v>14</v>
      </c>
      <c r="K9" s="17" t="s">
        <v>14</v>
      </c>
      <c r="L9" s="17" t="s">
        <v>15</v>
      </c>
      <c r="M9" s="17" t="s">
        <v>15</v>
      </c>
      <c r="N9" s="17" t="s">
        <v>173</v>
      </c>
      <c r="O9" s="17" t="s">
        <v>173</v>
      </c>
      <c r="P9" s="14"/>
      <c r="Q9" s="17" t="s">
        <v>13</v>
      </c>
      <c r="R9" s="17"/>
      <c r="S9" s="17" t="s">
        <v>141</v>
      </c>
      <c r="T9" s="17"/>
      <c r="U9" s="17" t="s">
        <v>157</v>
      </c>
      <c r="V9" s="17"/>
      <c r="W9" s="17" t="s">
        <v>143</v>
      </c>
      <c r="X9" s="17"/>
      <c r="Y9" s="17" t="s">
        <v>14</v>
      </c>
      <c r="Z9" s="17"/>
      <c r="AA9" s="17" t="s">
        <v>15</v>
      </c>
      <c r="AB9" s="17"/>
    </row>
    <row r="10" spans="1:28">
      <c r="A10" s="18" t="s">
        <v>16</v>
      </c>
      <c r="B10" s="6">
        <f t="shared" ref="B10:J10" si="0">+B11+B12</f>
        <v>539513193018</v>
      </c>
      <c r="C10" s="6">
        <f t="shared" si="0"/>
        <v>538901861742.22809</v>
      </c>
      <c r="D10" s="6">
        <f t="shared" si="0"/>
        <v>80545575543</v>
      </c>
      <c r="E10" s="6">
        <f t="shared" si="0"/>
        <v>54272183624.860001</v>
      </c>
      <c r="F10" s="6">
        <f t="shared" si="0"/>
        <v>39501572253</v>
      </c>
      <c r="G10" s="6">
        <f t="shared" si="0"/>
        <v>10571121978.350012</v>
      </c>
      <c r="H10" s="6">
        <f t="shared" si="0"/>
        <v>19067641162</v>
      </c>
      <c r="I10" s="6">
        <f t="shared" si="0"/>
        <v>13646742069</v>
      </c>
      <c r="J10" s="6">
        <f t="shared" si="0"/>
        <v>167940604441</v>
      </c>
      <c r="K10" s="6">
        <f>+K11+K12</f>
        <v>179419649331.55002</v>
      </c>
      <c r="L10" s="41">
        <f>+B10+D10+F10+H10+J10</f>
        <v>846568586417</v>
      </c>
      <c r="M10" s="41">
        <f>+C10+E10+G10+I10+K10</f>
        <v>796811558745.98816</v>
      </c>
      <c r="N10" s="11">
        <f>+L10/3620238000000</f>
        <v>0.23384335129817432</v>
      </c>
      <c r="O10" s="11">
        <f>+M10/3620230799402.58</f>
        <v>0.22009965742446036</v>
      </c>
      <c r="Q10" s="83">
        <f>+C10/B10</f>
        <v>0.99886688354671704</v>
      </c>
      <c r="S10" s="83">
        <f>+E10/D10</f>
        <v>0.67380713663019631</v>
      </c>
      <c r="U10" s="83">
        <f>+G10/F10</f>
        <v>0.26761268920244496</v>
      </c>
      <c r="W10" s="83">
        <f>+I10/H10</f>
        <v>0.71570164096630173</v>
      </c>
      <c r="Y10" s="83">
        <f>+K10/J10</f>
        <v>1.068351813599568</v>
      </c>
      <c r="AA10" s="83">
        <f>+M10/L10</f>
        <v>0.94122504842566568</v>
      </c>
    </row>
    <row r="11" spans="1:28">
      <c r="A11" s="20" t="s">
        <v>17</v>
      </c>
      <c r="B11" s="3">
        <v>537886883163</v>
      </c>
      <c r="C11" s="3">
        <v>537166828305.76807</v>
      </c>
      <c r="D11" s="3">
        <v>75462825024</v>
      </c>
      <c r="E11" s="3">
        <v>52620871128.029999</v>
      </c>
      <c r="F11" s="3">
        <v>39475923858</v>
      </c>
      <c r="G11" s="3">
        <v>10571121978.350012</v>
      </c>
      <c r="H11" s="3">
        <v>13092784324</v>
      </c>
      <c r="I11" s="3">
        <v>11481456342</v>
      </c>
      <c r="J11" s="3">
        <v>147891794760</v>
      </c>
      <c r="K11" s="3">
        <v>130787288597.87003</v>
      </c>
      <c r="L11" s="42">
        <v>813810211129</v>
      </c>
      <c r="M11" s="42">
        <f>+C11+E11+G11+I11+K11</f>
        <v>742627566352.01807</v>
      </c>
      <c r="N11" s="35">
        <f>+L11/3620238000000</f>
        <v>0.22479467126995517</v>
      </c>
      <c r="O11" s="35">
        <f>+M11/3620230799402.58</f>
        <v>0.20513265797157695</v>
      </c>
      <c r="Q11" s="83">
        <f>+C11/B11</f>
        <v>0.99866132661016438</v>
      </c>
      <c r="S11" s="83">
        <f>+E11/D11</f>
        <v>0.69730852391617459</v>
      </c>
      <c r="U11" s="83">
        <f>+G11/F11</f>
        <v>0.26778656318154082</v>
      </c>
      <c r="W11" s="83">
        <f>+I11/H11</f>
        <v>0.87693007521354172</v>
      </c>
      <c r="Y11" s="83">
        <f>+K11/J11</f>
        <v>0.88434445474214907</v>
      </c>
      <c r="AA11" s="83">
        <f>+M11/L11</f>
        <v>0.9125316396826354</v>
      </c>
    </row>
    <row r="12" spans="1:28">
      <c r="A12" s="20" t="s">
        <v>18</v>
      </c>
      <c r="B12" s="3">
        <v>1626309855</v>
      </c>
      <c r="C12" s="3">
        <v>1735033436.46</v>
      </c>
      <c r="D12" s="3">
        <v>5082750519</v>
      </c>
      <c r="E12" s="3">
        <v>1651312496.8299999</v>
      </c>
      <c r="F12" s="3">
        <v>25648395</v>
      </c>
      <c r="G12" s="3">
        <v>0</v>
      </c>
      <c r="H12" s="3">
        <v>5974856838</v>
      </c>
      <c r="I12" s="3">
        <v>2165285727</v>
      </c>
      <c r="J12" s="3">
        <v>20048809681</v>
      </c>
      <c r="K12" s="3">
        <v>48632360733.68</v>
      </c>
      <c r="L12" s="42">
        <v>32758375288</v>
      </c>
      <c r="M12" s="42">
        <f>+C12+E12+G12+I12+K12</f>
        <v>54183992393.970001</v>
      </c>
      <c r="N12" s="35">
        <f>+L12/3620238000000</f>
        <v>9.0486800282191387E-3</v>
      </c>
      <c r="O12" s="35">
        <f>+M12/3620230799402.58</f>
        <v>1.4966999452883387E-2</v>
      </c>
      <c r="Q12" s="83">
        <f>+C12/B12</f>
        <v>1.0668529315774207</v>
      </c>
      <c r="S12" s="83">
        <f>+E12/D12</f>
        <v>0.32488560881695322</v>
      </c>
      <c r="U12" s="83">
        <f>+G12/F12</f>
        <v>0</v>
      </c>
      <c r="W12" s="83">
        <f>+I12/H12</f>
        <v>0.36239959980778369</v>
      </c>
      <c r="Y12" s="83">
        <f>+K12/J12</f>
        <v>2.4256981590168052</v>
      </c>
      <c r="AA12" s="83">
        <f>+M12/L12</f>
        <v>1.6540500533864573</v>
      </c>
    </row>
    <row r="13" spans="1:28">
      <c r="A13" s="21"/>
      <c r="B13" s="7"/>
      <c r="C13" s="7"/>
      <c r="D13" s="7"/>
      <c r="E13" s="7"/>
      <c r="F13" s="7"/>
      <c r="G13" s="7"/>
      <c r="H13" s="7"/>
      <c r="I13" s="7"/>
      <c r="J13" s="7"/>
      <c r="K13" s="7"/>
      <c r="L13" s="43"/>
      <c r="M13" s="43"/>
      <c r="N13" s="36"/>
      <c r="O13" s="36"/>
      <c r="S13" s="19"/>
      <c r="U13" s="19"/>
      <c r="W13" s="19"/>
      <c r="Y13" s="19"/>
      <c r="AA13" s="19"/>
    </row>
    <row r="14" spans="1:28">
      <c r="A14" s="18" t="s">
        <v>19</v>
      </c>
      <c r="B14" s="6">
        <f t="shared" ref="B14:J14" si="1">+B15+B17</f>
        <v>624407045081</v>
      </c>
      <c r="C14" s="6">
        <f t="shared" si="1"/>
        <v>623948637379.39331</v>
      </c>
      <c r="D14" s="6">
        <f t="shared" si="1"/>
        <v>78909677095</v>
      </c>
      <c r="E14" s="6">
        <f t="shared" si="1"/>
        <v>45216849609.930054</v>
      </c>
      <c r="F14" s="6">
        <f t="shared" si="1"/>
        <v>39374572253</v>
      </c>
      <c r="G14" s="6">
        <f t="shared" si="1"/>
        <v>10599461368.310003</v>
      </c>
      <c r="H14" s="6">
        <f t="shared" si="1"/>
        <v>18128898721</v>
      </c>
      <c r="I14" s="6">
        <f t="shared" si="1"/>
        <v>14691424562</v>
      </c>
      <c r="J14" s="6">
        <f t="shared" si="1"/>
        <v>168109671668</v>
      </c>
      <c r="K14" s="6">
        <f>+K15+K17</f>
        <v>193770184662.05023</v>
      </c>
      <c r="L14" s="41">
        <f t="shared" ref="L14:M17" si="2">+B14+D14+F14+H14+J14</f>
        <v>928929864818</v>
      </c>
      <c r="M14" s="41">
        <f t="shared" si="2"/>
        <v>888226557581.68359</v>
      </c>
      <c r="N14" s="11">
        <f>+L14/3620238000000</f>
        <v>0.25659358992917042</v>
      </c>
      <c r="O14" s="11">
        <f>+M14/3620230799402.58</f>
        <v>0.245350809602598</v>
      </c>
      <c r="Q14" s="83">
        <f>+C14/B14</f>
        <v>0.99926585116997324</v>
      </c>
      <c r="S14" s="83">
        <f>+E14/D14</f>
        <v>0.57302033507871442</v>
      </c>
      <c r="U14" s="83">
        <f>+G14/F14</f>
        <v>0.26919559405505455</v>
      </c>
      <c r="W14" s="83">
        <f>+I14/H14</f>
        <v>0.81038703939483492</v>
      </c>
      <c r="Y14" s="83">
        <f>+K14/J14</f>
        <v>1.1526415032487078</v>
      </c>
      <c r="AA14" s="83">
        <f>+M14/L14</f>
        <v>0.9561825830152515</v>
      </c>
    </row>
    <row r="15" spans="1:28">
      <c r="A15" s="20" t="s">
        <v>20</v>
      </c>
      <c r="B15" s="3">
        <v>526377193392</v>
      </c>
      <c r="C15" s="3">
        <v>498451638085.06323</v>
      </c>
      <c r="D15" s="3">
        <v>68973568161</v>
      </c>
      <c r="E15" s="3">
        <v>42580148543.920052</v>
      </c>
      <c r="F15" s="3">
        <v>34640782144</v>
      </c>
      <c r="G15" s="3">
        <v>10521895146.150003</v>
      </c>
      <c r="H15" s="3">
        <v>11827166215</v>
      </c>
      <c r="I15" s="3">
        <v>10373937684</v>
      </c>
      <c r="J15" s="3">
        <v>130312919549</v>
      </c>
      <c r="K15" s="3">
        <v>110915137116.79024</v>
      </c>
      <c r="L15" s="42">
        <v>772131629461</v>
      </c>
      <c r="M15" s="42">
        <f t="shared" si="2"/>
        <v>672842756575.92358</v>
      </c>
      <c r="N15" s="35">
        <f>+L15/3620238000000</f>
        <v>0.21328200782959572</v>
      </c>
      <c r="O15" s="35">
        <f>+M15/3620230799402.58</f>
        <v>0.18585631520701881</v>
      </c>
      <c r="Q15" s="83">
        <f>+C15/B15</f>
        <v>0.94694763440075524</v>
      </c>
      <c r="S15" s="83">
        <f>+E15/D15</f>
        <v>0.61734008663330708</v>
      </c>
      <c r="U15" s="83">
        <f>+G15/F15</f>
        <v>0.30374300159883838</v>
      </c>
      <c r="W15" s="83">
        <f>+I15/H15</f>
        <v>0.87712791850706229</v>
      </c>
      <c r="Y15" s="83">
        <f>+K15/J15</f>
        <v>0.85114459487713456</v>
      </c>
      <c r="AA15" s="83">
        <f>+M15/L15</f>
        <v>0.87140939563065589</v>
      </c>
    </row>
    <row r="16" spans="1:28">
      <c r="A16" s="22" t="s">
        <v>21</v>
      </c>
      <c r="B16" s="4">
        <v>114865424715</v>
      </c>
      <c r="C16" s="4">
        <v>86466966158.790039</v>
      </c>
      <c r="D16" s="4">
        <v>20628362</v>
      </c>
      <c r="E16" s="4">
        <v>413696.31</v>
      </c>
      <c r="F16" s="5"/>
      <c r="G16" s="5"/>
      <c r="H16" s="4">
        <v>174864240</v>
      </c>
      <c r="I16" s="4">
        <v>140336976</v>
      </c>
      <c r="J16" s="4">
        <v>1766824106</v>
      </c>
      <c r="K16" s="4">
        <v>7409915788.2099991</v>
      </c>
      <c r="L16" s="44">
        <v>116827741423</v>
      </c>
      <c r="M16" s="44">
        <f t="shared" si="2"/>
        <v>94017632619.310028</v>
      </c>
      <c r="N16" s="37">
        <f>+L16/3620238000000</f>
        <v>3.2270735079572115E-2</v>
      </c>
      <c r="O16" s="37">
        <f>+M16/3620230799402.58</f>
        <v>2.5970065951271687E-2</v>
      </c>
      <c r="Q16" s="83">
        <f>+C16/B16</f>
        <v>0.75276756581302684</v>
      </c>
      <c r="S16" s="83">
        <f>+E16/D16</f>
        <v>2.0054733865926922E-2</v>
      </c>
      <c r="U16" s="83" t="e">
        <f>+G16/F16</f>
        <v>#DIV/0!</v>
      </c>
      <c r="W16" s="83">
        <f>+I16/H16</f>
        <v>0.80254817108403642</v>
      </c>
      <c r="Y16" s="83">
        <f>+K16/J16</f>
        <v>4.1939182078433781</v>
      </c>
      <c r="AA16" s="83">
        <f>+M16/L16</f>
        <v>0.8047543457927423</v>
      </c>
    </row>
    <row r="17" spans="1:27">
      <c r="A17" s="20" t="s">
        <v>22</v>
      </c>
      <c r="B17" s="3">
        <v>98029851689</v>
      </c>
      <c r="C17" s="3">
        <v>125496999294.33014</v>
      </c>
      <c r="D17" s="3">
        <v>9936108934</v>
      </c>
      <c r="E17" s="3">
        <v>2636701066.0099993</v>
      </c>
      <c r="F17" s="3">
        <v>4733790109</v>
      </c>
      <c r="G17" s="3">
        <v>77566222.160000011</v>
      </c>
      <c r="H17" s="3">
        <v>6301732506</v>
      </c>
      <c r="I17" s="3">
        <v>4317486878</v>
      </c>
      <c r="J17" s="3">
        <v>37796752119</v>
      </c>
      <c r="K17" s="3">
        <v>82855047545.259995</v>
      </c>
      <c r="L17" s="42">
        <v>156798235357</v>
      </c>
      <c r="M17" s="42">
        <f t="shared" si="2"/>
        <v>215383801005.76013</v>
      </c>
      <c r="N17" s="35">
        <f>+L17/3620238000000</f>
        <v>4.3311582099574669E-2</v>
      </c>
      <c r="O17" s="35">
        <f>+M17/3620230799402.58</f>
        <v>5.9494494395579231E-2</v>
      </c>
      <c r="Q17" s="83">
        <f>+C17/B17</f>
        <v>1.2801916674572735</v>
      </c>
      <c r="S17" s="83">
        <f>+E17/D17</f>
        <v>0.2653655554225629</v>
      </c>
      <c r="U17" s="83">
        <f>+G17/F17</f>
        <v>1.6385648787539012E-2</v>
      </c>
      <c r="W17" s="83">
        <f>+I17/H17</f>
        <v>0.68512696689192032</v>
      </c>
      <c r="Y17" s="83">
        <f>+K17/J17</f>
        <v>2.1921208278530817</v>
      </c>
      <c r="AA17" s="83">
        <f>+M17/L17</f>
        <v>1.3736366389288237</v>
      </c>
    </row>
    <row r="18" spans="1:27">
      <c r="A18" s="2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45"/>
      <c r="M18" s="45"/>
      <c r="N18" s="38"/>
      <c r="O18" s="38"/>
      <c r="S18" s="19"/>
      <c r="U18" s="19"/>
      <c r="W18" s="19"/>
      <c r="Y18" s="19"/>
      <c r="AA18" s="19"/>
    </row>
    <row r="19" spans="1:27">
      <c r="A19" s="18" t="s">
        <v>23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41"/>
      <c r="M19" s="41"/>
      <c r="N19" s="11">
        <f>+L19/3620238000000</f>
        <v>0</v>
      </c>
      <c r="O19" s="11">
        <f>+M19/3620230799402.58</f>
        <v>0</v>
      </c>
      <c r="Q19" s="83"/>
      <c r="S19" s="83"/>
      <c r="U19" s="83"/>
      <c r="W19" s="83"/>
      <c r="Y19" s="83"/>
      <c r="AA19" s="83"/>
    </row>
    <row r="20" spans="1:27">
      <c r="A20" s="24" t="s">
        <v>24</v>
      </c>
      <c r="B20" s="13">
        <f t="shared" ref="B20:J20" si="3">+B11-B15</f>
        <v>11509689771</v>
      </c>
      <c r="C20" s="13">
        <f t="shared" si="3"/>
        <v>38715190220.704834</v>
      </c>
      <c r="D20" s="13">
        <f t="shared" si="3"/>
        <v>6489256863</v>
      </c>
      <c r="E20" s="13">
        <f t="shared" si="3"/>
        <v>10040722584.109947</v>
      </c>
      <c r="F20" s="13">
        <f t="shared" si="3"/>
        <v>4835141714</v>
      </c>
      <c r="G20" s="13">
        <f t="shared" si="3"/>
        <v>49226832.200008392</v>
      </c>
      <c r="H20" s="13">
        <f t="shared" si="3"/>
        <v>1265618109</v>
      </c>
      <c r="I20" s="13">
        <f t="shared" si="3"/>
        <v>1107518658</v>
      </c>
      <c r="J20" s="13">
        <f t="shared" si="3"/>
        <v>17578875211</v>
      </c>
      <c r="K20" s="13">
        <f>+K11-K15</f>
        <v>19872151481.079788</v>
      </c>
      <c r="L20" s="46">
        <f t="shared" ref="L20:M23" si="4">+B20+D20+F20+H20+J20</f>
        <v>41678581668</v>
      </c>
      <c r="M20" s="46">
        <f t="shared" si="4"/>
        <v>69784809776.094574</v>
      </c>
      <c r="N20" s="39">
        <f>+L20/3620238000000</f>
        <v>1.1512663440359446E-2</v>
      </c>
      <c r="O20" s="39">
        <f>+M20/3620230799402.58</f>
        <v>1.9276342764558172E-2</v>
      </c>
      <c r="Q20" s="83">
        <f>+C20/B20</f>
        <v>3.3637040607516853</v>
      </c>
      <c r="S20" s="83">
        <f>+E20/D20</f>
        <v>1.5472838872135655</v>
      </c>
      <c r="U20" s="83">
        <f>+G20/F20</f>
        <v>1.0181052616818584E-2</v>
      </c>
      <c r="W20" s="83">
        <f>+I20/H20</f>
        <v>0.87508123510897073</v>
      </c>
      <c r="Y20" s="83">
        <f>+K20/J20</f>
        <v>1.130456371215649</v>
      </c>
      <c r="AA20" s="83">
        <f>+M20/L20</f>
        <v>1.6743566355491888</v>
      </c>
    </row>
    <row r="21" spans="1:27">
      <c r="A21" s="24" t="s">
        <v>25</v>
      </c>
      <c r="B21" s="13">
        <f t="shared" ref="B21:J21" si="5">+B12-B17</f>
        <v>-96403541834</v>
      </c>
      <c r="C21" s="13">
        <f t="shared" si="5"/>
        <v>-123761965857.87013</v>
      </c>
      <c r="D21" s="13">
        <f t="shared" si="5"/>
        <v>-4853358415</v>
      </c>
      <c r="E21" s="13">
        <f t="shared" si="5"/>
        <v>-985388569.17999935</v>
      </c>
      <c r="F21" s="13">
        <f t="shared" si="5"/>
        <v>-4708141714</v>
      </c>
      <c r="G21" s="13">
        <f t="shared" si="5"/>
        <v>-77566222.160000011</v>
      </c>
      <c r="H21" s="13">
        <f t="shared" si="5"/>
        <v>-326875668</v>
      </c>
      <c r="I21" s="13">
        <f t="shared" si="5"/>
        <v>-2152201151</v>
      </c>
      <c r="J21" s="13">
        <f t="shared" si="5"/>
        <v>-17747942438</v>
      </c>
      <c r="K21" s="13">
        <f>+K12-K17</f>
        <v>-34222686811.579994</v>
      </c>
      <c r="L21" s="46">
        <f t="shared" si="4"/>
        <v>-124039860069</v>
      </c>
      <c r="M21" s="46">
        <f t="shared" si="4"/>
        <v>-161199808611.79013</v>
      </c>
      <c r="N21" s="39">
        <f>+L21/3620238000000</f>
        <v>-3.426290207135553E-2</v>
      </c>
      <c r="O21" s="39">
        <f>+M21/3620230799402.58</f>
        <v>-4.4527494942695846E-2</v>
      </c>
      <c r="Q21" s="83">
        <f>+C21/B21</f>
        <v>1.2837906523287224</v>
      </c>
      <c r="S21" s="83">
        <f>+E21/D21</f>
        <v>0.20303230977842368</v>
      </c>
      <c r="U21" s="83">
        <f>+G21/F21</f>
        <v>1.6474912369215913E-2</v>
      </c>
      <c r="W21" s="83">
        <f>+I21/H21</f>
        <v>6.5841583259112451</v>
      </c>
      <c r="Y21" s="83">
        <f>+K21/J21</f>
        <v>1.9282622158107765</v>
      </c>
      <c r="AA21" s="83">
        <f>+M21/L21</f>
        <v>1.2995807035102995</v>
      </c>
    </row>
    <row r="22" spans="1:27">
      <c r="A22" s="24" t="s">
        <v>26</v>
      </c>
      <c r="B22" s="13">
        <f t="shared" ref="B22:J22" si="6">+B10-B14</f>
        <v>-84893852063</v>
      </c>
      <c r="C22" s="13">
        <f t="shared" si="6"/>
        <v>-85046775637.165222</v>
      </c>
      <c r="D22" s="13">
        <f t="shared" si="6"/>
        <v>1635898448</v>
      </c>
      <c r="E22" s="13">
        <f>+E10-E14</f>
        <v>9055334014.9299469</v>
      </c>
      <c r="F22" s="13">
        <f t="shared" si="6"/>
        <v>127000000</v>
      </c>
      <c r="G22" s="13">
        <f t="shared" si="6"/>
        <v>-28339389.959991455</v>
      </c>
      <c r="H22" s="13">
        <f t="shared" si="6"/>
        <v>938742441</v>
      </c>
      <c r="I22" s="13">
        <f t="shared" si="6"/>
        <v>-1044682493</v>
      </c>
      <c r="J22" s="13">
        <f t="shared" si="6"/>
        <v>-169067227</v>
      </c>
      <c r="K22" s="13">
        <f>+K10-K14</f>
        <v>-14350535330.500214</v>
      </c>
      <c r="L22" s="46">
        <f t="shared" si="4"/>
        <v>-82361278401</v>
      </c>
      <c r="M22" s="46">
        <f t="shared" si="4"/>
        <v>-91414998835.69548</v>
      </c>
      <c r="N22" s="39">
        <f>+L22/3620238000000</f>
        <v>-2.2750238630996084E-2</v>
      </c>
      <c r="O22" s="39">
        <f>+M22/3620230799402.58</f>
        <v>-2.5251152178137653E-2</v>
      </c>
      <c r="Q22" s="83">
        <f>+C22/B22</f>
        <v>1.0018013503975733</v>
      </c>
      <c r="S22" s="83">
        <f>+E22/D22</f>
        <v>5.5353888415266388</v>
      </c>
      <c r="U22" s="83">
        <f>+G22/F22</f>
        <v>-0.22314480283457838</v>
      </c>
      <c r="W22" s="83">
        <f>+I22/H22</f>
        <v>-1.112853161179276</v>
      </c>
      <c r="Y22" s="83">
        <f>+K22/J22</f>
        <v>84.880645321640088</v>
      </c>
      <c r="AA22" s="83">
        <f>+M22/L22</f>
        <v>1.1099269050999281</v>
      </c>
    </row>
    <row r="23" spans="1:27">
      <c r="A23" s="24" t="s">
        <v>27</v>
      </c>
      <c r="B23" s="13">
        <f t="shared" ref="B23:J23" si="7">+B10-(B14-B16)</f>
        <v>29971572652</v>
      </c>
      <c r="C23" s="13">
        <f t="shared" si="7"/>
        <v>1420190521.6248169</v>
      </c>
      <c r="D23" s="13">
        <f t="shared" si="7"/>
        <v>1656526810</v>
      </c>
      <c r="E23" s="13">
        <f>+E10-(E14-E16)</f>
        <v>9055747711.2399445</v>
      </c>
      <c r="F23" s="13">
        <f t="shared" si="7"/>
        <v>127000000</v>
      </c>
      <c r="G23" s="13">
        <f t="shared" si="7"/>
        <v>-28339389.959991455</v>
      </c>
      <c r="H23" s="13">
        <f t="shared" si="7"/>
        <v>1113606681</v>
      </c>
      <c r="I23" s="13">
        <f t="shared" si="7"/>
        <v>-904345517</v>
      </c>
      <c r="J23" s="13">
        <f t="shared" si="7"/>
        <v>1597756879</v>
      </c>
      <c r="K23" s="13">
        <f>+K10-(K14-K16)</f>
        <v>-6940619542.2902222</v>
      </c>
      <c r="L23" s="46">
        <f t="shared" si="4"/>
        <v>34466463022</v>
      </c>
      <c r="M23" s="46">
        <f t="shared" si="4"/>
        <v>2602633783.6145477</v>
      </c>
      <c r="N23" s="39">
        <f>+L23/3620238000000</f>
        <v>9.520496448576032E-3</v>
      </c>
      <c r="O23" s="39">
        <f>+M23/3620230799402.58</f>
        <v>7.1891377313403363E-4</v>
      </c>
      <c r="Q23" s="83">
        <f>+C23/B23</f>
        <v>4.738458465675633E-2</v>
      </c>
      <c r="S23" s="83">
        <f>+E23/D23</f>
        <v>5.4667076056800701</v>
      </c>
      <c r="U23" s="83">
        <f>+G23/F23</f>
        <v>-0.22314480283457838</v>
      </c>
      <c r="W23" s="83">
        <f>+I23/H23</f>
        <v>-0.81208700740544493</v>
      </c>
      <c r="Y23" s="83">
        <f>+K23/J23</f>
        <v>-4.3439772555598068</v>
      </c>
      <c r="AA23" s="83">
        <f>+M23/L23</f>
        <v>7.5512064639568097E-2</v>
      </c>
    </row>
    <row r="24" spans="1:27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47"/>
      <c r="M24" s="47"/>
      <c r="N24" s="40"/>
      <c r="O24" s="40"/>
      <c r="S24" s="19"/>
      <c r="U24" s="19"/>
      <c r="W24" s="19"/>
      <c r="Y24" s="19"/>
      <c r="AA24" s="19"/>
    </row>
    <row r="25" spans="1:27">
      <c r="A25" s="18" t="s">
        <v>28</v>
      </c>
      <c r="B25" s="6">
        <f t="shared" ref="B25:J25" si="8">+B26-B27</f>
        <v>84893852063</v>
      </c>
      <c r="C25" s="6">
        <f t="shared" si="8"/>
        <v>102347071885.90997</v>
      </c>
      <c r="D25" s="6">
        <f t="shared" si="8"/>
        <v>-1635898448</v>
      </c>
      <c r="E25" s="6">
        <f t="shared" si="8"/>
        <v>640037850.22000003</v>
      </c>
      <c r="F25" s="6">
        <f t="shared" si="8"/>
        <v>-127000000</v>
      </c>
      <c r="G25" s="6">
        <f t="shared" si="8"/>
        <v>8705637.1399999987</v>
      </c>
      <c r="H25" s="6">
        <f t="shared" si="8"/>
        <v>-938742441</v>
      </c>
      <c r="I25" s="6">
        <f t="shared" si="8"/>
        <v>-1567870229</v>
      </c>
      <c r="J25" s="6">
        <f t="shared" si="8"/>
        <v>169067227</v>
      </c>
      <c r="K25" s="6">
        <f>+K26-K27</f>
        <v>-25691388323.5</v>
      </c>
      <c r="L25" s="41">
        <f t="shared" ref="L25:M27" si="9">+B25+D25+F25+H25+J25</f>
        <v>82361278401</v>
      </c>
      <c r="M25" s="41">
        <f t="shared" si="9"/>
        <v>75736556820.769974</v>
      </c>
      <c r="N25" s="11">
        <f>+L25/3620238000000</f>
        <v>2.2750238630996084E-2</v>
      </c>
      <c r="O25" s="11">
        <f>+M25/3620230799402.58</f>
        <v>2.0920366964799101E-2</v>
      </c>
      <c r="S25" s="19"/>
      <c r="U25" s="19"/>
      <c r="W25" s="19"/>
      <c r="Y25" s="19"/>
      <c r="AA25" s="19"/>
    </row>
    <row r="26" spans="1:27">
      <c r="A26" s="20" t="s">
        <v>29</v>
      </c>
      <c r="B26" s="3">
        <v>171886178118</v>
      </c>
      <c r="C26" s="3">
        <v>188914149746.66992</v>
      </c>
      <c r="D26" s="3">
        <v>1105565000</v>
      </c>
      <c r="E26" s="3">
        <v>999999996</v>
      </c>
      <c r="F26" s="9">
        <v>0</v>
      </c>
      <c r="G26" s="3">
        <v>18576780.699999999</v>
      </c>
      <c r="H26" s="3">
        <v>1371233466</v>
      </c>
      <c r="I26" s="3">
        <v>193039300</v>
      </c>
      <c r="J26" s="3">
        <v>14530906997</v>
      </c>
      <c r="K26" s="3">
        <v>134560000</v>
      </c>
      <c r="L26" s="42">
        <v>188893883581</v>
      </c>
      <c r="M26" s="42">
        <f t="shared" si="9"/>
        <v>190260325823.36993</v>
      </c>
      <c r="N26" s="35">
        <f>+L26/3620238000000</f>
        <v>5.2177200388758969E-2</v>
      </c>
      <c r="O26" s="35">
        <f>+M26/3620230799402.58</f>
        <v>5.2554750336571684E-2</v>
      </c>
      <c r="Q26" s="83">
        <f>+C26/B26</f>
        <v>1.0990653920816147</v>
      </c>
      <c r="S26" s="83">
        <f>+E26/D26</f>
        <v>0.90451488243567768</v>
      </c>
      <c r="U26" s="83" t="e">
        <f>+G26/F26</f>
        <v>#DIV/0!</v>
      </c>
      <c r="W26" s="83">
        <f>+I26/H26</f>
        <v>0.14077785058959463</v>
      </c>
      <c r="Y26" s="83">
        <f>+K26/J26</f>
        <v>9.2602615946671997E-3</v>
      </c>
      <c r="AA26" s="83">
        <f>+M26/L26</f>
        <v>1.007233914706317</v>
      </c>
    </row>
    <row r="27" spans="1:27">
      <c r="A27" s="20" t="s">
        <v>30</v>
      </c>
      <c r="B27" s="3">
        <v>86992326055</v>
      </c>
      <c r="C27" s="3">
        <v>86567077860.759949</v>
      </c>
      <c r="D27" s="3">
        <v>2741463448</v>
      </c>
      <c r="E27" s="3">
        <v>359962145.77999991</v>
      </c>
      <c r="F27" s="3">
        <v>127000000</v>
      </c>
      <c r="G27" s="3">
        <v>9871143.5600000005</v>
      </c>
      <c r="H27" s="3">
        <v>2309975907</v>
      </c>
      <c r="I27" s="3">
        <v>1760909529</v>
      </c>
      <c r="J27" s="3">
        <v>14361839770</v>
      </c>
      <c r="K27" s="3">
        <v>25825948323.5</v>
      </c>
      <c r="L27" s="42">
        <v>106532605180</v>
      </c>
      <c r="M27" s="42">
        <f t="shared" si="9"/>
        <v>114523769002.59995</v>
      </c>
      <c r="N27" s="35">
        <f>+L27/3620238000000</f>
        <v>2.9426961757762889E-2</v>
      </c>
      <c r="O27" s="35">
        <f>+M27/3620230799402.58</f>
        <v>3.163438337177258E-2</v>
      </c>
      <c r="Q27" s="83">
        <f>+C27/B27</f>
        <v>0.99511165853903949</v>
      </c>
      <c r="S27" s="83">
        <f>+E27/D27</f>
        <v>0.13130291634659794</v>
      </c>
      <c r="U27" s="83">
        <f>+G27/F27</f>
        <v>7.7725539842519689E-2</v>
      </c>
      <c r="W27" s="83">
        <f>+I27/H27</f>
        <v>0.76230644815985082</v>
      </c>
      <c r="Y27" s="83">
        <f>+K27/J27</f>
        <v>1.7982339823514129</v>
      </c>
      <c r="AA27" s="83">
        <f>+M27/L27</f>
        <v>1.0750114371942552</v>
      </c>
    </row>
    <row r="28" spans="1:27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48"/>
      <c r="M28" s="48"/>
      <c r="N28" s="49"/>
      <c r="O28" s="49"/>
    </row>
    <row r="29" spans="1:27">
      <c r="A29" s="18" t="s">
        <v>31</v>
      </c>
      <c r="B29" s="11">
        <f>+B22/3620238000000</f>
        <v>-2.3449798621803318E-2</v>
      </c>
      <c r="C29" s="11">
        <f>+C22/3613147144162.04</f>
        <v>-2.3538143409016696E-2</v>
      </c>
      <c r="D29" s="11">
        <f>+D22/3620238000000</f>
        <v>4.518759396481668E-4</v>
      </c>
      <c r="E29" s="11">
        <f>+E22/3613147144162.04</f>
        <v>2.5062178908382259E-3</v>
      </c>
      <c r="F29" s="11">
        <f>+F22/3620238000000</f>
        <v>3.5080566526289154E-5</v>
      </c>
      <c r="G29" s="97">
        <f>+G22/3613147144162.04</f>
        <v>-7.8434087595300294E-6</v>
      </c>
      <c r="H29" s="11">
        <f>+H22/3620238000000</f>
        <v>2.5930406813032736E-4</v>
      </c>
      <c r="I29" s="11">
        <f>+I22/3613147144162.04</f>
        <v>-2.8913366971172229E-4</v>
      </c>
      <c r="J29" s="11">
        <f>+J22/3620238000000</f>
        <v>-4.6700583497549056E-5</v>
      </c>
      <c r="K29" s="11">
        <f>+K22/3613147144162.04</f>
        <v>-3.9717550262759601E-3</v>
      </c>
      <c r="L29" s="11">
        <f>+L22/3620238000000</f>
        <v>-2.2750238630996084E-2</v>
      </c>
      <c r="M29" s="11">
        <f>+M22/3613147144162.04</f>
        <v>-2.5300657622925684E-2</v>
      </c>
      <c r="N29" s="58" t="s">
        <v>32</v>
      </c>
      <c r="O29" s="58"/>
    </row>
    <row r="30" spans="1:27" ht="24.75" customHeight="1">
      <c r="A30" s="277" t="s">
        <v>33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56"/>
      <c r="N30" s="2"/>
    </row>
    <row r="31" spans="1:27">
      <c r="C31" s="83">
        <f>C20/$A$35</f>
        <v>1.0715088169951531E-2</v>
      </c>
      <c r="D31" s="83"/>
      <c r="E31" s="83">
        <f>E20/$A$35</f>
        <v>2.7789409574235837E-3</v>
      </c>
      <c r="F31" s="83"/>
      <c r="G31" s="92">
        <f>G20/$A$35</f>
        <v>1.362436408922534E-5</v>
      </c>
      <c r="H31" s="83"/>
      <c r="I31" s="83">
        <f>I20/$A$35</f>
        <v>3.0652464840505558E-4</v>
      </c>
      <c r="J31" s="83"/>
      <c r="K31" s="83">
        <f>K20/$A$35</f>
        <v>5.4999563228938274E-3</v>
      </c>
    </row>
    <row r="32" spans="1:27">
      <c r="C32" s="83">
        <f>C21/$A$35</f>
        <v>-3.425323157896825E-2</v>
      </c>
      <c r="D32" s="83"/>
      <c r="E32" s="83">
        <f>E21/$A$35</f>
        <v>-2.7272306658535778E-4</v>
      </c>
      <c r="F32" s="83"/>
      <c r="G32" s="92">
        <f>G21/$A$35</f>
        <v>-2.1467772848755414E-5</v>
      </c>
      <c r="H32" s="83"/>
      <c r="I32" s="83">
        <f>I21/$A$35</f>
        <v>-5.9565831811677792E-4</v>
      </c>
      <c r="J32" s="83"/>
      <c r="K32" s="83">
        <f>K21/$A$35</f>
        <v>-9.4717113491697858E-3</v>
      </c>
      <c r="L32" s="19"/>
    </row>
    <row r="33" spans="1:11">
      <c r="C33" s="83">
        <f>C22/$A$35</f>
        <v>-2.3538143409016696E-2</v>
      </c>
      <c r="D33" s="83"/>
      <c r="E33" s="83">
        <f>E22/$A$35</f>
        <v>2.5062178908382259E-3</v>
      </c>
      <c r="F33" s="83"/>
      <c r="G33" s="92">
        <f>G22/$A$35</f>
        <v>-7.8434087595300294E-6</v>
      </c>
      <c r="H33" s="83"/>
      <c r="I33" s="83">
        <f>I22/$A$35</f>
        <v>-2.8913366971172229E-4</v>
      </c>
      <c r="J33" s="83"/>
      <c r="K33" s="83">
        <f>K22/$A$35</f>
        <v>-3.9717550262759601E-3</v>
      </c>
    </row>
    <row r="34" spans="1:11">
      <c r="C34" s="83">
        <f>C23/$A$35</f>
        <v>3.9306191111521615E-4</v>
      </c>
      <c r="D34" s="83"/>
      <c r="E34" s="83">
        <f>E23/$A$35</f>
        <v>2.5063323883368028E-3</v>
      </c>
      <c r="F34" s="83"/>
      <c r="G34" s="92">
        <f>G23/$A$35</f>
        <v>-7.8434087595300294E-6</v>
      </c>
      <c r="H34" s="83"/>
      <c r="I34" s="83">
        <f>I23/$A$35</f>
        <v>-2.502930218220425E-4</v>
      </c>
      <c r="J34" s="83"/>
      <c r="K34" s="83">
        <f>K23/$A$35</f>
        <v>-1.9209346493138432E-3</v>
      </c>
    </row>
    <row r="35" spans="1:11">
      <c r="A35" s="19">
        <v>3613147144162.04</v>
      </c>
      <c r="C35" s="66"/>
      <c r="G35" s="93"/>
    </row>
    <row r="37" spans="1:11">
      <c r="C37" s="83"/>
    </row>
    <row r="38" spans="1:11">
      <c r="D38" s="85"/>
    </row>
    <row r="44" spans="1:11">
      <c r="I44"/>
      <c r="J44" s="19"/>
    </row>
    <row r="46" spans="1:11">
      <c r="C46" s="85"/>
    </row>
    <row r="49" spans="1:3">
      <c r="A49" s="19"/>
      <c r="B49" s="19"/>
    </row>
    <row r="50" spans="1:3">
      <c r="A50" s="19"/>
      <c r="B50" s="19"/>
    </row>
    <row r="52" spans="1:3">
      <c r="C52" s="85"/>
    </row>
  </sheetData>
  <mergeCells count="8">
    <mergeCell ref="A30:L30"/>
    <mergeCell ref="A7:O7"/>
    <mergeCell ref="A8:O8"/>
    <mergeCell ref="A1:O1"/>
    <mergeCell ref="A2:O2"/>
    <mergeCell ref="A3:O3"/>
    <mergeCell ref="A5:O5"/>
    <mergeCell ref="A6:O6"/>
  </mergeCells>
  <pageMargins left="0.7" right="0.7" top="0.75" bottom="0.75" header="0.3" footer="0.3"/>
  <pageSetup orientation="portrait" horizontalDpi="4294967295" verticalDpi="4294967295" r:id="rId1"/>
  <ignoredErrors>
    <ignoredError sqref="C29:E29 F29:G29 H29:I29 J29:K29 L2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5"/>
  <sheetViews>
    <sheetView showGridLines="0" workbookViewId="0">
      <selection activeCell="C9" sqref="C9"/>
    </sheetView>
  </sheetViews>
  <sheetFormatPr baseColWidth="10" defaultColWidth="11.42578125" defaultRowHeight="15"/>
  <cols>
    <col min="1" max="1" width="20.5703125" customWidth="1"/>
    <col min="2" max="2" width="10.140625" customWidth="1"/>
    <col min="3" max="3" width="11.42578125" customWidth="1"/>
    <col min="4" max="4" width="10" style="19" customWidth="1"/>
    <col min="5" max="5" width="9.140625" style="19" bestFit="1" customWidth="1"/>
    <col min="6" max="6" width="12.42578125" hidden="1" customWidth="1"/>
    <col min="7" max="7" width="13.7109375" style="19" customWidth="1"/>
    <col min="8" max="8" width="12.42578125" style="19" hidden="1" customWidth="1"/>
    <col min="9" max="9" width="13" style="19" customWidth="1"/>
    <col min="10" max="10" width="16.42578125" customWidth="1"/>
    <col min="11" max="11" width="27" customWidth="1"/>
    <col min="12" max="12" width="12" bestFit="1" customWidth="1"/>
  </cols>
  <sheetData>
    <row r="1" spans="1:19" ht="28.5" customHeight="1">
      <c r="A1" s="245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7"/>
      <c r="M1" s="28"/>
    </row>
    <row r="2" spans="1:19" ht="21">
      <c r="A2" s="247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9"/>
      <c r="M2" s="30"/>
      <c r="N2" s="102" t="s">
        <v>195</v>
      </c>
    </row>
    <row r="3" spans="1:19" ht="15.75" customHeight="1">
      <c r="A3" s="280" t="s">
        <v>10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31"/>
      <c r="M3" s="32"/>
      <c r="N3" s="282" t="s">
        <v>201</v>
      </c>
      <c r="O3" s="282"/>
      <c r="P3" s="282"/>
      <c r="Q3" s="282"/>
      <c r="R3" s="282"/>
      <c r="S3" s="282"/>
    </row>
    <row r="4" spans="1:19">
      <c r="A4" s="19"/>
      <c r="B4" s="19"/>
      <c r="C4" s="19"/>
      <c r="F4" s="19"/>
      <c r="J4" s="19"/>
      <c r="K4" s="19"/>
      <c r="L4" s="19"/>
      <c r="M4" s="19"/>
      <c r="N4" s="282"/>
      <c r="O4" s="282"/>
      <c r="P4" s="282"/>
      <c r="Q4" s="282"/>
      <c r="R4" s="282"/>
      <c r="S4" s="282"/>
    </row>
    <row r="5" spans="1:19" ht="22.5" customHeight="1">
      <c r="A5" s="283" t="s">
        <v>114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34"/>
      <c r="M5" s="34"/>
      <c r="N5" s="282"/>
      <c r="O5" s="282"/>
      <c r="P5" s="282"/>
      <c r="Q5" s="282"/>
      <c r="R5" s="282"/>
      <c r="S5" s="282"/>
    </row>
    <row r="6" spans="1:19" s="19" customFormat="1" ht="22.5" customHeight="1">
      <c r="A6" s="57"/>
      <c r="B6" s="57"/>
      <c r="C6" s="57"/>
      <c r="D6" s="57"/>
      <c r="E6" s="57"/>
      <c r="F6" s="57"/>
      <c r="G6" s="57"/>
      <c r="H6" s="98"/>
      <c r="I6" s="98"/>
      <c r="J6" s="57"/>
      <c r="K6" s="57"/>
      <c r="L6" s="34"/>
      <c r="M6" s="34"/>
      <c r="N6" s="282"/>
      <c r="O6" s="282"/>
      <c r="P6" s="282"/>
      <c r="Q6" s="282"/>
      <c r="R6" s="282"/>
      <c r="S6" s="282"/>
    </row>
    <row r="7" spans="1:19" ht="27.75" customHeight="1">
      <c r="A7" s="287" t="s">
        <v>34</v>
      </c>
      <c r="B7" s="289" t="s">
        <v>115</v>
      </c>
      <c r="C7" s="290"/>
      <c r="D7" s="289" t="s">
        <v>116</v>
      </c>
      <c r="E7" s="290"/>
      <c r="F7" s="284" t="s">
        <v>189</v>
      </c>
      <c r="G7" s="285"/>
      <c r="H7" s="284" t="s">
        <v>190</v>
      </c>
      <c r="I7" s="285"/>
      <c r="J7" s="287" t="s">
        <v>35</v>
      </c>
      <c r="K7" s="287" t="s">
        <v>119</v>
      </c>
      <c r="N7" s="282"/>
      <c r="O7" s="282"/>
      <c r="P7" s="282"/>
      <c r="Q7" s="282"/>
      <c r="R7" s="282"/>
      <c r="S7" s="282"/>
    </row>
    <row r="8" spans="1:19" s="99" customFormat="1" ht="25.5">
      <c r="A8" s="288"/>
      <c r="B8" s="1" t="s">
        <v>36</v>
      </c>
      <c r="C8" s="1" t="s">
        <v>37</v>
      </c>
      <c r="D8" s="1" t="s">
        <v>36</v>
      </c>
      <c r="E8" s="1" t="s">
        <v>37</v>
      </c>
      <c r="F8" s="1" t="s">
        <v>117</v>
      </c>
      <c r="G8" s="1" t="s">
        <v>118</v>
      </c>
      <c r="H8" s="1" t="s">
        <v>117</v>
      </c>
      <c r="I8" s="1" t="s">
        <v>118</v>
      </c>
      <c r="J8" s="288"/>
      <c r="K8" s="288"/>
      <c r="M8"/>
      <c r="N8" s="282"/>
      <c r="O8" s="282"/>
      <c r="P8" s="282"/>
      <c r="Q8" s="282"/>
      <c r="R8" s="282"/>
      <c r="S8" s="282"/>
    </row>
    <row r="9" spans="1:19" s="52" customFormat="1" ht="63.75">
      <c r="A9" s="53" t="s">
        <v>13</v>
      </c>
      <c r="B9" s="53">
        <v>32</v>
      </c>
      <c r="C9" s="53">
        <v>32</v>
      </c>
      <c r="D9" s="53">
        <v>32</v>
      </c>
      <c r="E9" s="53">
        <v>32</v>
      </c>
      <c r="F9" s="96">
        <f>+C9/B9</f>
        <v>1</v>
      </c>
      <c r="G9" s="96">
        <f t="shared" ref="G9:G14" si="0">+IFERROR(E9/D9,0)</f>
        <v>1</v>
      </c>
      <c r="H9" s="96">
        <v>1</v>
      </c>
      <c r="I9" s="96">
        <v>1</v>
      </c>
      <c r="J9" s="53" t="s">
        <v>191</v>
      </c>
      <c r="K9" s="53" t="s">
        <v>113</v>
      </c>
      <c r="M9"/>
      <c r="N9" s="282"/>
      <c r="O9" s="282"/>
      <c r="P9" s="282"/>
      <c r="Q9" s="282"/>
      <c r="R9" s="282"/>
      <c r="S9" s="282"/>
    </row>
    <row r="10" spans="1:19" s="52" customFormat="1" ht="63.75">
      <c r="A10" s="53" t="s">
        <v>38</v>
      </c>
      <c r="B10" s="53">
        <v>60</v>
      </c>
      <c r="C10" s="53">
        <v>60</v>
      </c>
      <c r="D10" s="53">
        <v>60</v>
      </c>
      <c r="E10" s="53">
        <v>49</v>
      </c>
      <c r="F10" s="96">
        <f>+C10/B10</f>
        <v>1</v>
      </c>
      <c r="G10" s="96">
        <f>+IFERROR(E10/D10,0)</f>
        <v>0.81666666666666665</v>
      </c>
      <c r="H10" s="96">
        <v>1</v>
      </c>
      <c r="I10" s="96">
        <v>0.78257762351827354</v>
      </c>
      <c r="J10" s="53" t="s">
        <v>191</v>
      </c>
      <c r="K10" s="53" t="s">
        <v>39</v>
      </c>
      <c r="M10"/>
      <c r="N10" s="282"/>
      <c r="O10" s="282"/>
      <c r="P10" s="282"/>
      <c r="Q10" s="282"/>
      <c r="R10" s="282"/>
      <c r="S10" s="282"/>
    </row>
    <row r="11" spans="1:19" s="52" customFormat="1" ht="63.75">
      <c r="A11" s="53" t="s">
        <v>40</v>
      </c>
      <c r="B11" s="53">
        <v>7</v>
      </c>
      <c r="C11" s="53">
        <v>7</v>
      </c>
      <c r="D11" s="53">
        <v>7</v>
      </c>
      <c r="E11" s="53">
        <v>3</v>
      </c>
      <c r="F11" s="96">
        <f>+C11/B11</f>
        <v>1</v>
      </c>
      <c r="G11" s="96">
        <f t="shared" si="0"/>
        <v>0.42857142857142855</v>
      </c>
      <c r="H11" s="96">
        <v>1</v>
      </c>
      <c r="I11" s="96">
        <v>0.94078498200881033</v>
      </c>
      <c r="J11" s="53" t="s">
        <v>191</v>
      </c>
      <c r="K11" s="53" t="s">
        <v>32</v>
      </c>
      <c r="M11"/>
      <c r="N11"/>
      <c r="O11"/>
      <c r="P11"/>
    </row>
    <row r="12" spans="1:19" s="52" customFormat="1" ht="63.75">
      <c r="A12" s="53" t="s">
        <v>41</v>
      </c>
      <c r="B12" s="53">
        <v>392</v>
      </c>
      <c r="C12" s="53">
        <v>287</v>
      </c>
      <c r="D12" s="53">
        <v>392</v>
      </c>
      <c r="E12" s="53">
        <v>230</v>
      </c>
      <c r="F12" s="96">
        <f>+C12/B12</f>
        <v>0.7321428571428571</v>
      </c>
      <c r="G12" s="96">
        <f t="shared" si="0"/>
        <v>0.58673469387755106</v>
      </c>
      <c r="H12" s="96">
        <v>0.79430000000000001</v>
      </c>
      <c r="I12" s="96">
        <v>0.5293131935431622</v>
      </c>
      <c r="J12" s="53" t="s">
        <v>192</v>
      </c>
      <c r="K12" s="53" t="s">
        <v>193</v>
      </c>
      <c r="M12"/>
      <c r="N12"/>
      <c r="O12"/>
      <c r="P12"/>
    </row>
    <row r="13" spans="1:19" s="52" customFormat="1" ht="63.75">
      <c r="A13" s="53" t="s">
        <v>14</v>
      </c>
      <c r="B13" s="53">
        <v>24</v>
      </c>
      <c r="C13" s="53">
        <v>23</v>
      </c>
      <c r="D13" s="53">
        <v>24</v>
      </c>
      <c r="E13" s="53">
        <v>22</v>
      </c>
      <c r="F13" s="96">
        <f>+C13/B13</f>
        <v>0.95833333333333337</v>
      </c>
      <c r="G13" s="96">
        <f t="shared" si="0"/>
        <v>0.91666666666666663</v>
      </c>
      <c r="H13" s="96">
        <v>0.68930000000000002</v>
      </c>
      <c r="I13" s="96">
        <v>0.98150879751838205</v>
      </c>
      <c r="J13" s="53" t="s">
        <v>194</v>
      </c>
      <c r="K13" s="53" t="s">
        <v>42</v>
      </c>
      <c r="M13"/>
      <c r="N13"/>
      <c r="O13"/>
      <c r="P13"/>
    </row>
    <row r="14" spans="1:19" s="52" customFormat="1" ht="38.25">
      <c r="A14" s="33" t="s">
        <v>43</v>
      </c>
      <c r="B14" s="33">
        <f>SUM(B9:B13)</f>
        <v>515</v>
      </c>
      <c r="C14" s="65">
        <f>SUM(C9:C13)</f>
        <v>409</v>
      </c>
      <c r="D14" s="65">
        <f>SUM(D9:D13)</f>
        <v>515</v>
      </c>
      <c r="E14" s="65">
        <f>SUM(E9:E13)</f>
        <v>336</v>
      </c>
      <c r="F14" s="54">
        <v>0.79289940828402372</v>
      </c>
      <c r="G14" s="54">
        <f t="shared" si="0"/>
        <v>0.65242718446601944</v>
      </c>
      <c r="H14" s="54">
        <v>0.91320000000000001</v>
      </c>
      <c r="I14" s="54">
        <v>0.90428392454749595</v>
      </c>
      <c r="J14" s="33"/>
      <c r="K14" s="33" t="s">
        <v>44</v>
      </c>
      <c r="M14"/>
      <c r="N14"/>
      <c r="O14"/>
      <c r="P14"/>
    </row>
    <row r="15" spans="1:19">
      <c r="A15" s="286" t="s">
        <v>45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6"/>
    </row>
  </sheetData>
  <mergeCells count="13">
    <mergeCell ref="A15:K15"/>
    <mergeCell ref="A7:A8"/>
    <mergeCell ref="B7:C7"/>
    <mergeCell ref="J7:J8"/>
    <mergeCell ref="K7:K8"/>
    <mergeCell ref="D7:E7"/>
    <mergeCell ref="N3:S10"/>
    <mergeCell ref="A1:K1"/>
    <mergeCell ref="A2:K2"/>
    <mergeCell ref="A3:K3"/>
    <mergeCell ref="A5:K5"/>
    <mergeCell ref="F7:G7"/>
    <mergeCell ref="H7:I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showGridLines="0" workbookViewId="0">
      <selection activeCell="M22" sqref="M22"/>
    </sheetView>
  </sheetViews>
  <sheetFormatPr baseColWidth="10" defaultColWidth="11.42578125" defaultRowHeight="15"/>
  <cols>
    <col min="1" max="1" width="25.28515625" style="19" customWidth="1"/>
    <col min="2" max="2" width="10.140625" style="19" customWidth="1"/>
    <col min="3" max="3" width="9.5703125" style="19" customWidth="1"/>
    <col min="4" max="4" width="8.7109375" style="19" customWidth="1"/>
    <col min="5" max="5" width="9.140625" style="19" bestFit="1" customWidth="1"/>
    <col min="6" max="6" width="12.42578125" style="19" hidden="1" customWidth="1"/>
    <col min="7" max="7" width="12.85546875" style="19" customWidth="1"/>
    <col min="8" max="8" width="12.42578125" style="19" hidden="1" customWidth="1"/>
    <col min="9" max="9" width="11.7109375" style="19" customWidth="1"/>
    <col min="10" max="10" width="17.85546875" style="19" customWidth="1"/>
    <col min="11" max="11" width="28" style="19" customWidth="1"/>
    <col min="12" max="12" width="12" style="19" bestFit="1" customWidth="1"/>
    <col min="13" max="16384" width="11.42578125" style="19"/>
  </cols>
  <sheetData>
    <row r="1" spans="1:19" ht="28.5" customHeight="1">
      <c r="A1" s="245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7"/>
      <c r="M1" s="28"/>
    </row>
    <row r="2" spans="1:19" ht="21">
      <c r="A2" s="247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9"/>
      <c r="M2" s="30"/>
      <c r="N2" s="102"/>
    </row>
    <row r="3" spans="1:19" ht="15.75" customHeight="1">
      <c r="A3" s="280" t="s">
        <v>10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31"/>
      <c r="M3" s="32"/>
      <c r="N3" s="282"/>
      <c r="O3" s="282"/>
      <c r="P3" s="282"/>
      <c r="Q3" s="282"/>
      <c r="R3" s="282"/>
      <c r="S3" s="282"/>
    </row>
    <row r="4" spans="1:19">
      <c r="N4" s="282"/>
      <c r="O4" s="282"/>
      <c r="P4" s="282"/>
      <c r="Q4" s="282"/>
      <c r="R4" s="282"/>
      <c r="S4" s="282"/>
    </row>
    <row r="5" spans="1:19" ht="22.5" customHeight="1">
      <c r="A5" s="283" t="s">
        <v>114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34"/>
      <c r="M5" s="34"/>
      <c r="N5" s="282"/>
      <c r="O5" s="282"/>
      <c r="P5" s="282"/>
      <c r="Q5" s="282"/>
      <c r="R5" s="282"/>
      <c r="S5" s="282"/>
    </row>
    <row r="6" spans="1:19" ht="22.5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34"/>
      <c r="M6" s="34"/>
      <c r="N6" s="282"/>
      <c r="O6" s="282"/>
      <c r="P6" s="282"/>
      <c r="Q6" s="282"/>
      <c r="R6" s="282"/>
      <c r="S6" s="282"/>
    </row>
    <row r="7" spans="1:19" ht="27.75" customHeight="1">
      <c r="A7" s="292" t="s">
        <v>34</v>
      </c>
      <c r="B7" s="294" t="s">
        <v>243</v>
      </c>
      <c r="C7" s="295"/>
      <c r="D7" s="294" t="s">
        <v>116</v>
      </c>
      <c r="E7" s="295"/>
      <c r="F7" s="296" t="s">
        <v>189</v>
      </c>
      <c r="G7" s="297"/>
      <c r="H7" s="296" t="s">
        <v>190</v>
      </c>
      <c r="I7" s="297"/>
      <c r="J7" s="292" t="s">
        <v>35</v>
      </c>
      <c r="K7" s="292" t="s">
        <v>119</v>
      </c>
      <c r="N7" s="282"/>
      <c r="O7" s="282"/>
      <c r="P7" s="282"/>
      <c r="Q7" s="282"/>
      <c r="R7" s="282"/>
      <c r="S7" s="282"/>
    </row>
    <row r="8" spans="1:19" s="99" customFormat="1">
      <c r="A8" s="293"/>
      <c r="B8" s="165" t="s">
        <v>36</v>
      </c>
      <c r="C8" s="165" t="s">
        <v>37</v>
      </c>
      <c r="D8" s="165" t="s">
        <v>36</v>
      </c>
      <c r="E8" s="165" t="s">
        <v>37</v>
      </c>
      <c r="F8" s="165" t="s">
        <v>117</v>
      </c>
      <c r="G8" s="165" t="s">
        <v>118</v>
      </c>
      <c r="H8" s="165" t="s">
        <v>117</v>
      </c>
      <c r="I8" s="165" t="s">
        <v>118</v>
      </c>
      <c r="J8" s="293"/>
      <c r="K8" s="293"/>
      <c r="M8" s="19"/>
      <c r="N8" s="282"/>
      <c r="O8" s="282"/>
      <c r="P8" s="282"/>
      <c r="Q8" s="282"/>
      <c r="R8" s="282"/>
      <c r="S8" s="282"/>
    </row>
    <row r="9" spans="1:19" s="52" customFormat="1" ht="36">
      <c r="A9" s="166" t="s">
        <v>13</v>
      </c>
      <c r="B9" s="167">
        <v>32</v>
      </c>
      <c r="C9" s="167">
        <v>32</v>
      </c>
      <c r="D9" s="167">
        <v>32</v>
      </c>
      <c r="E9" s="167">
        <v>32</v>
      </c>
      <c r="F9" s="168">
        <f>+C9/B9</f>
        <v>1</v>
      </c>
      <c r="G9" s="168">
        <f>+IFERROR(E9/D9,0)</f>
        <v>1</v>
      </c>
      <c r="H9" s="168">
        <v>1</v>
      </c>
      <c r="I9" s="234">
        <f>+IFERROR(G9/F9,0)</f>
        <v>1</v>
      </c>
      <c r="J9" s="167" t="s">
        <v>191</v>
      </c>
      <c r="K9" s="167" t="s">
        <v>113</v>
      </c>
      <c r="M9" s="19"/>
      <c r="N9" s="282"/>
      <c r="O9" s="282"/>
      <c r="P9" s="282"/>
      <c r="Q9" s="282"/>
      <c r="R9" s="282"/>
      <c r="S9" s="282"/>
    </row>
    <row r="10" spans="1:19" s="52" customFormat="1" ht="36">
      <c r="A10" s="166" t="s">
        <v>38</v>
      </c>
      <c r="B10" s="167">
        <v>60</v>
      </c>
      <c r="C10" s="167">
        <v>60</v>
      </c>
      <c r="D10" s="167">
        <v>60</v>
      </c>
      <c r="E10" s="167">
        <v>47</v>
      </c>
      <c r="F10" s="168">
        <f t="shared" ref="F10:F13" si="0">+C10/B10</f>
        <v>1</v>
      </c>
      <c r="G10" s="168">
        <f>+IFERROR(E10/D10,0)</f>
        <v>0.78333333333333333</v>
      </c>
      <c r="H10" s="168">
        <v>1</v>
      </c>
      <c r="I10" s="234">
        <v>0.83141094583047093</v>
      </c>
      <c r="J10" s="167" t="s">
        <v>191</v>
      </c>
      <c r="K10" s="167" t="s">
        <v>39</v>
      </c>
      <c r="M10" s="19"/>
      <c r="N10" s="282"/>
      <c r="O10" s="282"/>
      <c r="P10" s="282"/>
      <c r="Q10" s="282"/>
      <c r="R10" s="282"/>
      <c r="S10" s="282"/>
    </row>
    <row r="11" spans="1:19" s="52" customFormat="1" ht="36">
      <c r="A11" s="166" t="s">
        <v>40</v>
      </c>
      <c r="B11" s="167">
        <v>7</v>
      </c>
      <c r="C11" s="167">
        <v>7</v>
      </c>
      <c r="D11" s="167">
        <v>7</v>
      </c>
      <c r="E11" s="167">
        <v>3</v>
      </c>
      <c r="F11" s="168">
        <f t="shared" si="0"/>
        <v>1</v>
      </c>
      <c r="G11" s="168">
        <f t="shared" ref="G11:G13" si="1">+IFERROR(E11/D11,0)</f>
        <v>0.42857142857142855</v>
      </c>
      <c r="H11" s="168">
        <v>1</v>
      </c>
      <c r="I11" s="234">
        <v>0.96804769883864994</v>
      </c>
      <c r="J11" s="167" t="s">
        <v>191</v>
      </c>
      <c r="K11" s="167" t="s">
        <v>32</v>
      </c>
      <c r="M11" s="19"/>
      <c r="N11" s="19"/>
      <c r="O11" s="19"/>
      <c r="P11" s="19"/>
    </row>
    <row r="12" spans="1:19" s="52" customFormat="1" ht="48">
      <c r="A12" s="166" t="s">
        <v>41</v>
      </c>
      <c r="B12" s="167">
        <v>392</v>
      </c>
      <c r="C12" s="167">
        <v>335</v>
      </c>
      <c r="D12" s="167">
        <v>392</v>
      </c>
      <c r="E12" s="167">
        <v>230</v>
      </c>
      <c r="F12" s="168">
        <f t="shared" si="0"/>
        <v>0.85459183673469385</v>
      </c>
      <c r="G12" s="168">
        <f>+IFERROR(E12/D12,0)</f>
        <v>0.58673469387755106</v>
      </c>
      <c r="H12" s="168">
        <v>0.79430000000000001</v>
      </c>
      <c r="I12" s="234">
        <v>0.74287391089142041</v>
      </c>
      <c r="J12" s="167" t="s">
        <v>192</v>
      </c>
      <c r="K12" s="167" t="s">
        <v>193</v>
      </c>
      <c r="M12" s="19"/>
      <c r="N12" s="19"/>
      <c r="O12" s="19"/>
      <c r="P12" s="19"/>
    </row>
    <row r="13" spans="1:19" s="52" customFormat="1" ht="48">
      <c r="A13" s="166" t="s">
        <v>14</v>
      </c>
      <c r="B13" s="167">
        <v>24</v>
      </c>
      <c r="C13" s="167">
        <v>23</v>
      </c>
      <c r="D13" s="167">
        <v>24</v>
      </c>
      <c r="E13" s="167">
        <v>23</v>
      </c>
      <c r="F13" s="168">
        <f t="shared" si="0"/>
        <v>0.95833333333333337</v>
      </c>
      <c r="G13" s="168">
        <f t="shared" si="1"/>
        <v>0.95833333333333337</v>
      </c>
      <c r="H13" s="168">
        <v>0.68930000000000002</v>
      </c>
      <c r="I13" s="234">
        <v>0.78544253127216956</v>
      </c>
      <c r="J13" s="167" t="s">
        <v>194</v>
      </c>
      <c r="K13" s="167" t="s">
        <v>42</v>
      </c>
      <c r="M13" s="19"/>
      <c r="N13" s="19"/>
      <c r="O13" s="19"/>
      <c r="P13" s="19"/>
    </row>
    <row r="14" spans="1:19" s="52" customFormat="1" ht="24">
      <c r="A14" s="169" t="s">
        <v>43</v>
      </c>
      <c r="B14" s="169">
        <f>SUM(B9:B13)</f>
        <v>515</v>
      </c>
      <c r="C14" s="169">
        <f>SUM(C9:C13)</f>
        <v>457</v>
      </c>
      <c r="D14" s="169">
        <f>SUM(D9:D13)</f>
        <v>515</v>
      </c>
      <c r="E14" s="169">
        <f>SUM(E9:E13)</f>
        <v>335</v>
      </c>
      <c r="F14" s="170">
        <v>0.79289940828402372</v>
      </c>
      <c r="G14" s="170">
        <f>+IFERROR(E14/D14,0)</f>
        <v>0.65048543689320393</v>
      </c>
      <c r="H14" s="170">
        <v>0.91320000000000001</v>
      </c>
      <c r="I14" s="170">
        <v>0.95785776183917004</v>
      </c>
      <c r="J14" s="169"/>
      <c r="K14" s="169" t="s">
        <v>44</v>
      </c>
      <c r="M14" s="19"/>
      <c r="N14" s="19"/>
      <c r="O14" s="19"/>
      <c r="P14" s="19"/>
    </row>
    <row r="15" spans="1:19">
      <c r="A15" s="291" t="s">
        <v>45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</row>
  </sheetData>
  <mergeCells count="13">
    <mergeCell ref="A15:K15"/>
    <mergeCell ref="A1:K1"/>
    <mergeCell ref="A2:K2"/>
    <mergeCell ref="A3:K3"/>
    <mergeCell ref="N3:S10"/>
    <mergeCell ref="A5:K5"/>
    <mergeCell ref="A7:A8"/>
    <mergeCell ref="B7:C7"/>
    <mergeCell ref="D7:E7"/>
    <mergeCell ref="F7:G7"/>
    <mergeCell ref="H7:I7"/>
    <mergeCell ref="J7:J8"/>
    <mergeCell ref="K7:K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selection activeCell="J18" sqref="J18"/>
    </sheetView>
  </sheetViews>
  <sheetFormatPr baseColWidth="10" defaultColWidth="11.42578125" defaultRowHeight="15"/>
  <cols>
    <col min="1" max="1" width="42.140625" style="19" customWidth="1"/>
    <col min="2" max="2" width="14.42578125" style="19" customWidth="1"/>
    <col min="3" max="3" width="17" style="19" customWidth="1"/>
    <col min="4" max="4" width="14.140625" style="19" customWidth="1"/>
    <col min="5" max="5" width="10.5703125" style="19" customWidth="1"/>
    <col min="6" max="6" width="11.7109375" style="19" customWidth="1"/>
    <col min="7" max="7" width="12.42578125" style="19" customWidth="1"/>
    <col min="8" max="8" width="11.42578125" style="19" customWidth="1"/>
    <col min="9" max="9" width="11.42578125" style="19"/>
    <col min="10" max="10" width="12" style="19" bestFit="1" customWidth="1"/>
    <col min="11" max="16384" width="11.42578125" style="19"/>
  </cols>
  <sheetData>
    <row r="1" spans="1:17" ht="28.5" customHeight="1">
      <c r="A1" s="245" t="s">
        <v>0</v>
      </c>
      <c r="B1" s="246"/>
      <c r="C1" s="246"/>
      <c r="D1" s="246"/>
      <c r="E1" s="246"/>
      <c r="F1" s="246"/>
      <c r="G1" s="246"/>
      <c r="H1" s="246"/>
      <c r="I1" s="27"/>
      <c r="J1" s="27"/>
      <c r="K1" s="27"/>
    </row>
    <row r="2" spans="1:17" ht="21">
      <c r="A2" s="247" t="s">
        <v>1</v>
      </c>
      <c r="B2" s="248"/>
      <c r="C2" s="248"/>
      <c r="D2" s="248"/>
      <c r="E2" s="248"/>
      <c r="F2" s="248"/>
      <c r="G2" s="248"/>
      <c r="H2" s="248"/>
      <c r="I2" s="29"/>
      <c r="J2" s="29"/>
      <c r="K2" s="29"/>
    </row>
    <row r="3" spans="1:17" ht="15.75" customHeight="1">
      <c r="A3" s="280" t="s">
        <v>10</v>
      </c>
      <c r="B3" s="281"/>
      <c r="C3" s="281"/>
      <c r="D3" s="281"/>
      <c r="E3" s="281"/>
      <c r="F3" s="281"/>
      <c r="G3" s="281"/>
      <c r="H3" s="281"/>
      <c r="I3" s="31"/>
      <c r="J3" s="31"/>
      <c r="K3" s="31"/>
    </row>
    <row r="4" spans="1:17" ht="15" customHeight="1"/>
    <row r="5" spans="1:17" ht="18.75" customHeight="1">
      <c r="A5" s="278" t="s">
        <v>244</v>
      </c>
      <c r="B5" s="278"/>
      <c r="C5" s="278"/>
      <c r="D5" s="278"/>
      <c r="E5" s="278"/>
      <c r="F5" s="278"/>
      <c r="G5" s="278"/>
      <c r="H5" s="278"/>
      <c r="I5" s="55"/>
      <c r="J5" s="55"/>
      <c r="K5" s="103"/>
      <c r="L5" s="104"/>
      <c r="M5" s="104"/>
      <c r="N5" s="104"/>
      <c r="O5" s="104"/>
      <c r="P5" s="104"/>
      <c r="Q5" s="104"/>
    </row>
    <row r="6" spans="1:17" ht="18.75">
      <c r="A6" s="278" t="s">
        <v>11</v>
      </c>
      <c r="B6" s="278"/>
      <c r="C6" s="278"/>
      <c r="D6" s="278"/>
      <c r="E6" s="278"/>
      <c r="F6" s="278"/>
      <c r="G6" s="278"/>
      <c r="H6" s="278"/>
      <c r="I6" s="55"/>
      <c r="J6" s="55"/>
      <c r="K6" s="298"/>
      <c r="L6" s="298"/>
      <c r="M6" s="298"/>
      <c r="N6" s="298"/>
      <c r="O6" s="298"/>
      <c r="P6" s="298"/>
      <c r="Q6" s="298"/>
    </row>
    <row r="7" spans="1:17" ht="18.75">
      <c r="A7" s="278" t="s">
        <v>196</v>
      </c>
      <c r="B7" s="278"/>
      <c r="C7" s="278"/>
      <c r="D7" s="278"/>
      <c r="E7" s="278"/>
      <c r="F7" s="278"/>
      <c r="G7" s="278"/>
      <c r="H7" s="278"/>
      <c r="I7" s="55"/>
      <c r="J7" s="55"/>
      <c r="K7" s="298"/>
      <c r="L7" s="298"/>
      <c r="M7" s="298"/>
      <c r="N7" s="298"/>
      <c r="O7" s="298"/>
      <c r="P7" s="298"/>
      <c r="Q7" s="298"/>
    </row>
    <row r="8" spans="1:17" ht="18.75">
      <c r="A8" s="279" t="s">
        <v>12</v>
      </c>
      <c r="B8" s="279"/>
      <c r="C8" s="279"/>
      <c r="D8" s="279"/>
      <c r="E8" s="279"/>
      <c r="F8" s="279"/>
      <c r="G8" s="279"/>
      <c r="H8" s="279"/>
      <c r="I8" s="55"/>
      <c r="J8" s="55"/>
      <c r="K8" s="298"/>
      <c r="L8" s="298"/>
      <c r="M8" s="298"/>
      <c r="N8" s="298"/>
      <c r="O8" s="298"/>
      <c r="P8" s="298"/>
      <c r="Q8" s="298"/>
    </row>
    <row r="9" spans="1:17" ht="51">
      <c r="A9" s="233"/>
      <c r="B9" s="233" t="s">
        <v>13</v>
      </c>
      <c r="C9" s="233" t="s">
        <v>141</v>
      </c>
      <c r="D9" s="233" t="s">
        <v>157</v>
      </c>
      <c r="E9" s="233" t="s">
        <v>143</v>
      </c>
      <c r="F9" s="233" t="s">
        <v>14</v>
      </c>
      <c r="G9" s="233" t="s">
        <v>15</v>
      </c>
      <c r="H9" s="233" t="s">
        <v>245</v>
      </c>
      <c r="I9" s="119"/>
    </row>
    <row r="10" spans="1:17">
      <c r="A10" s="123" t="s">
        <v>16</v>
      </c>
      <c r="B10" s="124">
        <f>+B11+B12</f>
        <v>604098750296.60327</v>
      </c>
      <c r="C10" s="124">
        <f>+C11+C12</f>
        <v>63097860408.930084</v>
      </c>
      <c r="D10" s="124">
        <f>+D11+D12</f>
        <v>11086878844.29001</v>
      </c>
      <c r="E10" s="124">
        <f>+E11+E12</f>
        <v>18740951502</v>
      </c>
      <c r="F10" s="124">
        <f>+F11+F12</f>
        <v>213272410287.71002</v>
      </c>
      <c r="G10" s="124">
        <f>+B10+C10+D10+E10+F10</f>
        <v>910296851339.53345</v>
      </c>
      <c r="H10" s="125">
        <f>+G10/3954408891928.14</f>
        <v>0.2301979578282001</v>
      </c>
      <c r="J10" s="83"/>
    </row>
    <row r="11" spans="1:17">
      <c r="A11" s="126" t="s">
        <v>17</v>
      </c>
      <c r="B11" s="127">
        <v>601291497593.97327</v>
      </c>
      <c r="C11" s="127">
        <v>59735650137.120087</v>
      </c>
      <c r="D11" s="127">
        <v>11086878844.29001</v>
      </c>
      <c r="E11" s="127">
        <v>12884325521</v>
      </c>
      <c r="F11" s="127">
        <v>180855500183.23001</v>
      </c>
      <c r="G11" s="127">
        <f>+B11+C11+D11+E11+F11</f>
        <v>865853852279.6134</v>
      </c>
      <c r="H11" s="128">
        <f t="shared" ref="H11" si="0">+G11/3954408891928.14</f>
        <v>0.21895911018383069</v>
      </c>
    </row>
    <row r="12" spans="1:17">
      <c r="A12" s="126" t="s">
        <v>18</v>
      </c>
      <c r="B12" s="127">
        <v>2807252702.6300011</v>
      </c>
      <c r="C12" s="127">
        <v>3362210271.8099995</v>
      </c>
      <c r="D12" s="127">
        <v>0</v>
      </c>
      <c r="E12" s="127">
        <v>5856625981</v>
      </c>
      <c r="F12" s="127">
        <v>32416910104.480003</v>
      </c>
      <c r="G12" s="127">
        <f>+B12+C12+D12+E12+F12</f>
        <v>44442999059.920006</v>
      </c>
      <c r="H12" s="128">
        <f>+G12/3954408891928.14</f>
        <v>1.1238847644369405E-2</v>
      </c>
    </row>
    <row r="13" spans="1:17">
      <c r="A13" s="129"/>
      <c r="B13" s="130"/>
      <c r="C13" s="130"/>
      <c r="D13" s="130"/>
      <c r="E13" s="130"/>
      <c r="F13" s="130"/>
      <c r="G13" s="130"/>
      <c r="H13" s="131"/>
    </row>
    <row r="14" spans="1:17">
      <c r="A14" s="123" t="s">
        <v>19</v>
      </c>
      <c r="B14" s="124">
        <f>+B15+B17</f>
        <v>685335562042.15674</v>
      </c>
      <c r="C14" s="124">
        <f>+C15+C17</f>
        <v>54571371271.179962</v>
      </c>
      <c r="D14" s="124">
        <f>+D15+D17</f>
        <v>11046119615.649998</v>
      </c>
      <c r="E14" s="124">
        <f>+E15+E17</f>
        <v>16682927612</v>
      </c>
      <c r="F14" s="124">
        <f>+F15+F17</f>
        <v>203981389937.16003</v>
      </c>
      <c r="G14" s="124">
        <f>+B14+C14+D14+E14+F14</f>
        <v>971617370478.14673</v>
      </c>
      <c r="H14" s="125">
        <f t="shared" ref="H14:H27" si="1">+G14/3954408891928.14</f>
        <v>0.2457048315012243</v>
      </c>
      <c r="J14" s="122"/>
      <c r="K14" s="122"/>
    </row>
    <row r="15" spans="1:17">
      <c r="A15" s="126" t="s">
        <v>20</v>
      </c>
      <c r="B15" s="127">
        <v>580208954552.19666</v>
      </c>
      <c r="C15" s="127">
        <v>50454883811.809959</v>
      </c>
      <c r="D15" s="127">
        <v>10965159647.949997</v>
      </c>
      <c r="E15" s="127">
        <v>11905363022</v>
      </c>
      <c r="F15" s="127">
        <v>135052436972.55003</v>
      </c>
      <c r="G15" s="127">
        <f>+B15+C15+D15+E15+F15</f>
        <v>788586798006.50659</v>
      </c>
      <c r="H15" s="128">
        <f t="shared" si="1"/>
        <v>0.19941964009240268</v>
      </c>
    </row>
    <row r="16" spans="1:17">
      <c r="A16" s="132" t="s">
        <v>21</v>
      </c>
      <c r="B16" s="133">
        <v>122512215773.66002</v>
      </c>
      <c r="C16" s="133">
        <v>338276.90999999992</v>
      </c>
      <c r="D16" s="133"/>
      <c r="E16" s="133">
        <v>132467106</v>
      </c>
      <c r="F16" s="133">
        <v>4772883273.5100002</v>
      </c>
      <c r="G16" s="133">
        <f>+B16+C16+D16+E16+F16</f>
        <v>127417904430.08002</v>
      </c>
      <c r="H16" s="134">
        <f t="shared" si="1"/>
        <v>3.2221732226571036E-2</v>
      </c>
    </row>
    <row r="17" spans="1:13">
      <c r="A17" s="126" t="s">
        <v>22</v>
      </c>
      <c r="B17" s="127">
        <v>105126607489.96014</v>
      </c>
      <c r="C17" s="127">
        <v>4116487459.3699999</v>
      </c>
      <c r="D17" s="127">
        <v>80959967.699999988</v>
      </c>
      <c r="E17" s="127">
        <v>4777564590</v>
      </c>
      <c r="F17" s="127">
        <v>68928952964.610016</v>
      </c>
      <c r="G17" s="127">
        <f>+B17+C17+D17+E17+F17</f>
        <v>183030572471.64014</v>
      </c>
      <c r="H17" s="128">
        <f t="shared" si="1"/>
        <v>4.6285191408821612E-2</v>
      </c>
    </row>
    <row r="18" spans="1:13">
      <c r="A18" s="135"/>
      <c r="B18" s="136"/>
      <c r="C18" s="136"/>
      <c r="D18" s="136"/>
      <c r="E18" s="136"/>
      <c r="F18" s="136"/>
      <c r="G18" s="136"/>
      <c r="H18" s="137"/>
    </row>
    <row r="19" spans="1:13">
      <c r="A19" s="123" t="s">
        <v>23</v>
      </c>
      <c r="B19" s="124"/>
      <c r="C19" s="124"/>
      <c r="D19" s="124"/>
      <c r="E19" s="124"/>
      <c r="F19" s="124"/>
      <c r="G19" s="124"/>
      <c r="H19" s="125"/>
    </row>
    <row r="20" spans="1:13">
      <c r="A20" s="138" t="s">
        <v>24</v>
      </c>
      <c r="B20" s="139">
        <f>+B11-B15</f>
        <v>21082543041.776611</v>
      </c>
      <c r="C20" s="139">
        <f>+C11-C15</f>
        <v>9280766325.3101273</v>
      </c>
      <c r="D20" s="139">
        <f>+D11-D15</f>
        <v>121719196.3400135</v>
      </c>
      <c r="E20" s="139">
        <f>+E11-E15</f>
        <v>978962499</v>
      </c>
      <c r="F20" s="139">
        <f>+F11-F15</f>
        <v>45803063210.679977</v>
      </c>
      <c r="G20" s="139">
        <f>+B20+C20+D20+E20+F20</f>
        <v>77267054273.10672</v>
      </c>
      <c r="H20" s="140">
        <f t="shared" si="1"/>
        <v>1.9539470091427973E-2</v>
      </c>
      <c r="M20" s="19" t="s">
        <v>226</v>
      </c>
    </row>
    <row r="21" spans="1:13">
      <c r="A21" s="138" t="s">
        <v>25</v>
      </c>
      <c r="B21" s="139">
        <f>+B12-B17</f>
        <v>-102319354787.33014</v>
      </c>
      <c r="C21" s="139">
        <f>+C12-C17</f>
        <v>-754277187.56000042</v>
      </c>
      <c r="D21" s="139">
        <f>+D12-D17</f>
        <v>-80959967.699999988</v>
      </c>
      <c r="E21" s="139">
        <f>+E12-E17</f>
        <v>1079061391</v>
      </c>
      <c r="F21" s="139">
        <f>+F12-F17</f>
        <v>-36512042860.130013</v>
      </c>
      <c r="G21" s="139">
        <f>+B21+C21+D21+E21+F21</f>
        <v>-138587573411.72015</v>
      </c>
      <c r="H21" s="140">
        <f>+G21/3954408891928.14</f>
        <v>-3.5046343764452211E-2</v>
      </c>
      <c r="L21" s="19" t="s">
        <v>226</v>
      </c>
    </row>
    <row r="22" spans="1:13">
      <c r="A22" s="138" t="s">
        <v>26</v>
      </c>
      <c r="B22" s="139">
        <f>+B10-B14</f>
        <v>-81236811745.553467</v>
      </c>
      <c r="C22" s="139">
        <f>+C10-C14</f>
        <v>8526489137.7501221</v>
      </c>
      <c r="D22" s="139">
        <f>+D10-D14</f>
        <v>40759228.640012741</v>
      </c>
      <c r="E22" s="139">
        <f>+E10-E14</f>
        <v>2058023890</v>
      </c>
      <c r="F22" s="139">
        <f>+F10-F14</f>
        <v>9291020350.5499878</v>
      </c>
      <c r="G22" s="139">
        <f>+B22+C22+D22+E22+F22</f>
        <v>-61320519138.613342</v>
      </c>
      <c r="H22" s="140">
        <f t="shared" si="1"/>
        <v>-1.5506873673024217E-2</v>
      </c>
      <c r="K22" s="19" t="s">
        <v>226</v>
      </c>
    </row>
    <row r="23" spans="1:13">
      <c r="A23" s="138" t="s">
        <v>27</v>
      </c>
      <c r="B23" s="139">
        <f>+B10-(B14-B16)</f>
        <v>41275404028.106567</v>
      </c>
      <c r="C23" s="139">
        <f>+C10-(C14-C16)</f>
        <v>8526827414.6601257</v>
      </c>
      <c r="D23" s="139">
        <f>+D10-(D14-D16)</f>
        <v>40759228.640012741</v>
      </c>
      <c r="E23" s="139">
        <f>+E10-(E14-E16)</f>
        <v>2190490996</v>
      </c>
      <c r="F23" s="139">
        <f>+F10-(F14-F16)</f>
        <v>14063903624.059998</v>
      </c>
      <c r="G23" s="139">
        <f>+B23+C23+D23+E23+F23</f>
        <v>66097385291.466705</v>
      </c>
      <c r="H23" s="140">
        <f t="shared" si="1"/>
        <v>1.6714858553546829E-2</v>
      </c>
    </row>
    <row r="24" spans="1:13">
      <c r="A24" s="141"/>
      <c r="B24" s="142"/>
      <c r="C24" s="142"/>
      <c r="D24" s="142"/>
      <c r="E24" s="142"/>
      <c r="F24" s="142"/>
      <c r="G24" s="142"/>
      <c r="H24" s="143"/>
    </row>
    <row r="25" spans="1:13">
      <c r="A25" s="123" t="s">
        <v>28</v>
      </c>
      <c r="B25" s="124">
        <f>+B26-B27</f>
        <v>91970224599.109985</v>
      </c>
      <c r="C25" s="124">
        <f>+C26-C27</f>
        <v>745223319.36999989</v>
      </c>
      <c r="D25" s="124">
        <f>+D26-D27</f>
        <v>-9843371.0500000007</v>
      </c>
      <c r="E25" s="124">
        <f>+E26-E27</f>
        <v>-2024436336</v>
      </c>
      <c r="F25" s="124">
        <f>+F26-F27</f>
        <v>-9291020350.5499992</v>
      </c>
      <c r="G25" s="124">
        <f>+B25+C25+D25+E25+F25</f>
        <v>81390147860.879974</v>
      </c>
      <c r="H25" s="125">
        <f t="shared" si="1"/>
        <v>2.0582127464617031E-2</v>
      </c>
    </row>
    <row r="26" spans="1:13">
      <c r="A26" s="126" t="s">
        <v>29</v>
      </c>
      <c r="B26" s="127">
        <v>217376902950.82999</v>
      </c>
      <c r="C26" s="127">
        <v>949999997</v>
      </c>
      <c r="D26" s="127">
        <v>0</v>
      </c>
      <c r="E26" s="127">
        <v>593883930</v>
      </c>
      <c r="F26" s="127">
        <v>19881136467.549999</v>
      </c>
      <c r="G26" s="127">
        <f>+B26+C26+D26+E26+F26</f>
        <v>238801923345.37997</v>
      </c>
      <c r="H26" s="128">
        <f t="shared" si="1"/>
        <v>6.0388778670013042E-2</v>
      </c>
    </row>
    <row r="27" spans="1:13">
      <c r="A27" s="126" t="s">
        <v>30</v>
      </c>
      <c r="B27" s="127">
        <v>125406678351.72</v>
      </c>
      <c r="C27" s="127">
        <v>204776677.63000005</v>
      </c>
      <c r="D27" s="127">
        <v>9843371.0500000007</v>
      </c>
      <c r="E27" s="127">
        <v>2618320266</v>
      </c>
      <c r="F27" s="127">
        <v>29172156818.099998</v>
      </c>
      <c r="G27" s="127">
        <f>+B27+C27+D27+E27+F27</f>
        <v>157411775484.5</v>
      </c>
      <c r="H27" s="128">
        <f t="shared" si="1"/>
        <v>3.9806651205396011E-2</v>
      </c>
    </row>
    <row r="28" spans="1:13">
      <c r="A28" s="144"/>
      <c r="B28" s="145"/>
      <c r="C28" s="145"/>
      <c r="D28" s="145"/>
      <c r="E28" s="145"/>
      <c r="F28" s="145"/>
      <c r="G28" s="145"/>
      <c r="H28" s="207"/>
    </row>
    <row r="29" spans="1:13">
      <c r="A29" s="123" t="s">
        <v>31</v>
      </c>
      <c r="B29" s="125">
        <f t="shared" ref="B29:G29" si="2">+B22/3613147144162.04</f>
        <v>-2.2483671022590995E-2</v>
      </c>
      <c r="C29" s="125">
        <f t="shared" si="2"/>
        <v>2.3598510654421695E-3</v>
      </c>
      <c r="D29" s="125">
        <f t="shared" si="2"/>
        <v>1.1280810610182223E-5</v>
      </c>
      <c r="E29" s="125">
        <f t="shared" si="2"/>
        <v>5.6959315740164691E-4</v>
      </c>
      <c r="F29" s="125">
        <f t="shared" si="2"/>
        <v>2.5714480976956611E-3</v>
      </c>
      <c r="G29" s="125">
        <f t="shared" si="2"/>
        <v>-1.6971497891441336E-2</v>
      </c>
      <c r="H29" s="125"/>
    </row>
    <row r="30" spans="1:13" ht="24.75" customHeight="1">
      <c r="A30" s="277" t="s">
        <v>33</v>
      </c>
      <c r="B30" s="277"/>
      <c r="C30" s="277"/>
      <c r="D30" s="277"/>
      <c r="E30" s="277"/>
      <c r="F30" s="277"/>
      <c r="G30" s="121"/>
    </row>
    <row r="31" spans="1:13">
      <c r="B31" s="83"/>
      <c r="C31" s="83"/>
      <c r="D31" s="92"/>
      <c r="E31" s="83"/>
    </row>
    <row r="32" spans="1:13">
      <c r="B32" s="83"/>
      <c r="C32" s="83"/>
      <c r="D32" s="92"/>
      <c r="E32" s="83"/>
    </row>
    <row r="33" spans="2:5">
      <c r="B33" s="83"/>
      <c r="C33" s="83"/>
      <c r="D33" s="92"/>
      <c r="E33" s="83"/>
    </row>
    <row r="34" spans="2:5">
      <c r="B34" s="83"/>
      <c r="C34" s="83"/>
      <c r="D34" s="92"/>
      <c r="E34" s="83"/>
    </row>
    <row r="35" spans="2:5">
      <c r="B35" s="66"/>
      <c r="D35" s="93"/>
    </row>
    <row r="37" spans="2:5">
      <c r="B37" s="83"/>
    </row>
    <row r="46" spans="2:5">
      <c r="B46" s="85"/>
    </row>
    <row r="52" spans="2:2">
      <c r="B52" s="85"/>
    </row>
  </sheetData>
  <mergeCells count="9">
    <mergeCell ref="K6:Q8"/>
    <mergeCell ref="A7:H7"/>
    <mergeCell ref="A8:H8"/>
    <mergeCell ref="A30:F30"/>
    <mergeCell ref="A1:H1"/>
    <mergeCell ref="A2:H2"/>
    <mergeCell ref="A3:H3"/>
    <mergeCell ref="A5:H5"/>
    <mergeCell ref="A6:H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showGridLines="0" zoomScale="85" zoomScaleNormal="85" workbookViewId="0">
      <selection activeCell="M14" sqref="M14"/>
    </sheetView>
  </sheetViews>
  <sheetFormatPr baseColWidth="10" defaultColWidth="11.42578125" defaultRowHeight="15"/>
  <cols>
    <col min="1" max="1" width="11.42578125" style="19" customWidth="1"/>
    <col min="2" max="2" width="17.42578125" style="19" customWidth="1"/>
    <col min="3" max="3" width="28.7109375" style="19" customWidth="1"/>
    <col min="4" max="4" width="10.28515625" style="19" bestFit="1" customWidth="1"/>
    <col min="5" max="5" width="17" style="19" customWidth="1"/>
    <col min="6" max="6" width="14.28515625" style="19" customWidth="1"/>
    <col min="7" max="7" width="10.85546875" style="19" customWidth="1"/>
    <col min="8" max="8" width="16.42578125" style="19" customWidth="1"/>
    <col min="9" max="9" width="11.85546875" style="19" customWidth="1"/>
    <col min="10" max="10" width="13.140625" style="19" bestFit="1" customWidth="1"/>
    <col min="11" max="16384" width="11.42578125" style="19"/>
  </cols>
  <sheetData>
    <row r="1" spans="1:20" ht="28.5" customHeight="1">
      <c r="B1" s="245" t="s">
        <v>0</v>
      </c>
      <c r="C1" s="246"/>
      <c r="D1" s="246"/>
      <c r="E1" s="246"/>
      <c r="F1" s="246"/>
      <c r="G1" s="246"/>
      <c r="H1" s="246"/>
      <c r="I1" s="246"/>
    </row>
    <row r="2" spans="1:20" ht="21">
      <c r="B2" s="247" t="s">
        <v>1</v>
      </c>
      <c r="C2" s="248"/>
      <c r="D2" s="248"/>
      <c r="E2" s="248"/>
      <c r="F2" s="248"/>
      <c r="G2" s="248"/>
      <c r="H2" s="248"/>
      <c r="I2" s="248"/>
    </row>
    <row r="3" spans="1:20" ht="15.75" customHeight="1">
      <c r="B3" s="280" t="s">
        <v>10</v>
      </c>
      <c r="C3" s="281"/>
      <c r="D3" s="281"/>
      <c r="E3" s="281"/>
      <c r="F3" s="281"/>
      <c r="G3" s="281"/>
      <c r="H3" s="281"/>
      <c r="I3" s="281"/>
    </row>
    <row r="5" spans="1:20" ht="18.75" customHeight="1">
      <c r="B5" s="300" t="s">
        <v>180</v>
      </c>
      <c r="C5" s="300"/>
      <c r="D5" s="300"/>
      <c r="E5" s="300"/>
      <c r="F5" s="300"/>
      <c r="G5" s="300"/>
      <c r="H5" s="300"/>
      <c r="I5" s="300"/>
      <c r="K5" s="261"/>
    </row>
    <row r="6" spans="1:20" ht="18.75">
      <c r="B6" s="301" t="s">
        <v>196</v>
      </c>
      <c r="C6" s="301"/>
      <c r="D6" s="301"/>
      <c r="E6" s="301"/>
      <c r="F6" s="301"/>
      <c r="G6" s="301"/>
      <c r="H6" s="301"/>
      <c r="I6" s="301"/>
      <c r="K6" s="261"/>
    </row>
    <row r="7" spans="1:20" ht="15.75">
      <c r="B7" s="303" t="s">
        <v>58</v>
      </c>
      <c r="C7" s="303"/>
      <c r="D7" s="303"/>
      <c r="E7" s="303"/>
      <c r="F7" s="303"/>
      <c r="G7" s="303"/>
      <c r="H7" s="303"/>
      <c r="I7" s="303"/>
    </row>
    <row r="8" spans="1:20">
      <c r="B8" s="304" t="s">
        <v>47</v>
      </c>
      <c r="C8" s="304" t="s">
        <v>48</v>
      </c>
      <c r="D8" s="308" t="s">
        <v>49</v>
      </c>
      <c r="E8" s="308"/>
      <c r="F8" s="308"/>
      <c r="G8" s="308"/>
      <c r="H8" s="308"/>
      <c r="I8" s="308"/>
    </row>
    <row r="9" spans="1:20" ht="51" customHeight="1">
      <c r="A9" s="95"/>
      <c r="B9" s="304"/>
      <c r="C9" s="304"/>
      <c r="D9" s="184" t="s">
        <v>13</v>
      </c>
      <c r="E9" s="184" t="s">
        <v>141</v>
      </c>
      <c r="F9" s="184" t="s">
        <v>174</v>
      </c>
      <c r="G9" s="184" t="s">
        <v>41</v>
      </c>
      <c r="H9" s="184" t="s">
        <v>14</v>
      </c>
      <c r="I9" s="184" t="s">
        <v>175</v>
      </c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spans="1:20" ht="51" customHeight="1">
      <c r="B10" s="305" t="s">
        <v>50</v>
      </c>
      <c r="C10" s="180" t="s">
        <v>13</v>
      </c>
      <c r="D10" s="181">
        <v>0</v>
      </c>
      <c r="E10" s="182">
        <v>0</v>
      </c>
      <c r="F10" s="182">
        <v>0</v>
      </c>
      <c r="G10" s="182">
        <v>0</v>
      </c>
      <c r="H10" s="182">
        <v>3136.0036722600012</v>
      </c>
      <c r="I10" s="183">
        <f>+D10+E10+F10+G10+H10</f>
        <v>3136.0036722600012</v>
      </c>
      <c r="K10" s="331"/>
      <c r="L10" s="331"/>
      <c r="M10" s="109"/>
      <c r="N10" s="109"/>
      <c r="O10" s="109"/>
      <c r="P10" s="109"/>
      <c r="Q10" s="109"/>
      <c r="R10" s="109"/>
      <c r="S10" s="109"/>
      <c r="T10" s="109"/>
    </row>
    <row r="11" spans="1:20" ht="30" customHeight="1">
      <c r="B11" s="306"/>
      <c r="C11" s="177" t="s">
        <v>51</v>
      </c>
      <c r="D11" s="173">
        <v>0</v>
      </c>
      <c r="E11" s="172">
        <v>0</v>
      </c>
      <c r="F11" s="173">
        <v>0</v>
      </c>
      <c r="G11" s="173">
        <v>0</v>
      </c>
      <c r="H11" s="173">
        <v>112.17553546999984</v>
      </c>
      <c r="I11" s="174">
        <f>+D11+E11+F11+G11+H11</f>
        <v>112.17553546999984</v>
      </c>
      <c r="K11" s="109"/>
      <c r="L11" s="109"/>
      <c r="M11" s="109"/>
      <c r="N11" s="109"/>
      <c r="O11" s="109"/>
      <c r="P11" s="109"/>
      <c r="Q11" s="109"/>
      <c r="R11" s="109"/>
      <c r="S11" s="109"/>
      <c r="T11" s="109"/>
    </row>
    <row r="12" spans="1:20" ht="25.5">
      <c r="B12" s="306"/>
      <c r="C12" s="171" t="s">
        <v>52</v>
      </c>
      <c r="D12" s="173">
        <v>0</v>
      </c>
      <c r="E12" s="173">
        <v>0</v>
      </c>
      <c r="F12" s="172">
        <v>0</v>
      </c>
      <c r="G12" s="173">
        <v>0</v>
      </c>
      <c r="H12" s="173">
        <v>20.175816690000005</v>
      </c>
      <c r="I12" s="174">
        <f>+D12+E12+F12+G12+H12</f>
        <v>20.175816690000005</v>
      </c>
      <c r="K12" s="109"/>
      <c r="L12" s="331"/>
      <c r="M12" s="331"/>
      <c r="N12" s="331"/>
      <c r="O12" s="331"/>
      <c r="P12" s="331"/>
      <c r="Q12" s="331"/>
      <c r="R12" s="109"/>
      <c r="S12" s="109"/>
      <c r="T12" s="109"/>
    </row>
    <row r="13" spans="1:20">
      <c r="B13" s="306"/>
      <c r="C13" s="171" t="s">
        <v>41</v>
      </c>
      <c r="D13" s="173">
        <v>0</v>
      </c>
      <c r="E13" s="173">
        <v>0</v>
      </c>
      <c r="F13" s="173">
        <v>0</v>
      </c>
      <c r="G13" s="172">
        <v>0</v>
      </c>
      <c r="H13" s="173">
        <v>426.16891500000003</v>
      </c>
      <c r="I13" s="174">
        <f>+D13+E13+F13+G13+H13</f>
        <v>426.16891500000003</v>
      </c>
      <c r="K13" s="109"/>
      <c r="L13" s="109"/>
      <c r="M13" s="109"/>
      <c r="N13" s="109"/>
      <c r="O13" s="109"/>
      <c r="P13" s="109"/>
      <c r="Q13" s="109"/>
      <c r="R13" s="109"/>
      <c r="S13" s="109"/>
      <c r="T13" s="109"/>
    </row>
    <row r="14" spans="1:20">
      <c r="B14" s="306"/>
      <c r="C14" s="171" t="s">
        <v>14</v>
      </c>
      <c r="D14" s="173">
        <v>0</v>
      </c>
      <c r="E14" s="173">
        <v>0</v>
      </c>
      <c r="F14" s="173">
        <v>0</v>
      </c>
      <c r="G14" s="173">
        <v>0</v>
      </c>
      <c r="H14" s="172">
        <v>85281.030643549981</v>
      </c>
      <c r="I14" s="174">
        <f>+D14+E14+F14+G14+H14</f>
        <v>85281.030643549981</v>
      </c>
      <c r="J14" s="107"/>
      <c r="K14" s="109"/>
      <c r="L14" s="109"/>
      <c r="M14" s="109"/>
      <c r="N14" s="109"/>
      <c r="O14" s="109"/>
      <c r="P14" s="109"/>
      <c r="Q14" s="109"/>
      <c r="R14" s="109"/>
      <c r="S14" s="109"/>
      <c r="T14" s="109"/>
    </row>
    <row r="15" spans="1:20">
      <c r="B15" s="306"/>
      <c r="C15" s="175" t="s">
        <v>154</v>
      </c>
      <c r="D15" s="176">
        <f t="shared" ref="D15:I15" si="0">SUM(D10:D14)</f>
        <v>0</v>
      </c>
      <c r="E15" s="176">
        <f t="shared" si="0"/>
        <v>0</v>
      </c>
      <c r="F15" s="176">
        <f t="shared" si="0"/>
        <v>0</v>
      </c>
      <c r="G15" s="176">
        <f t="shared" si="0"/>
        <v>0</v>
      </c>
      <c r="H15" s="176">
        <f>SUM(H10:H14)</f>
        <v>88975.554582969984</v>
      </c>
      <c r="I15" s="176">
        <f t="shared" si="0"/>
        <v>88975.554582969984</v>
      </c>
      <c r="K15" s="109"/>
      <c r="L15" s="109"/>
      <c r="M15" s="109"/>
      <c r="N15" s="109"/>
      <c r="O15" s="109"/>
      <c r="P15" s="109"/>
      <c r="Q15" s="109"/>
      <c r="R15" s="109"/>
      <c r="S15" s="109"/>
      <c r="T15" s="109"/>
    </row>
    <row r="16" spans="1:20" ht="15" customHeight="1">
      <c r="B16" s="307" t="s">
        <v>53</v>
      </c>
      <c r="C16" s="177" t="s">
        <v>13</v>
      </c>
      <c r="D16" s="172">
        <v>0</v>
      </c>
      <c r="E16" s="178">
        <v>52170.36338861999</v>
      </c>
      <c r="F16" s="178">
        <v>10707.63464835</v>
      </c>
      <c r="G16" s="178">
        <v>8037.4038840000003</v>
      </c>
      <c r="H16" s="178">
        <v>25657.091538339995</v>
      </c>
      <c r="I16" s="174">
        <f>+D16+E16+F16+G16+H16</f>
        <v>96572.49345930999</v>
      </c>
      <c r="J16" s="83"/>
      <c r="K16" s="109"/>
      <c r="L16" s="109"/>
      <c r="M16" s="109"/>
      <c r="N16" s="109"/>
      <c r="O16" s="109"/>
      <c r="P16" s="109"/>
      <c r="Q16" s="109"/>
      <c r="R16" s="109"/>
      <c r="S16" s="109"/>
      <c r="T16" s="109"/>
    </row>
    <row r="17" spans="2:20" ht="25.5">
      <c r="B17" s="307"/>
      <c r="C17" s="177" t="s">
        <v>51</v>
      </c>
      <c r="D17" s="173">
        <v>0</v>
      </c>
      <c r="E17" s="172">
        <v>0</v>
      </c>
      <c r="F17" s="173">
        <v>0</v>
      </c>
      <c r="G17" s="173">
        <v>0</v>
      </c>
      <c r="H17" s="173">
        <v>0</v>
      </c>
      <c r="I17" s="174">
        <f>+D17+E17+F17+G17+H17</f>
        <v>0</v>
      </c>
      <c r="K17" s="109"/>
      <c r="L17" s="109"/>
      <c r="M17" s="109"/>
      <c r="N17" s="109"/>
      <c r="O17" s="109"/>
      <c r="P17" s="109"/>
      <c r="Q17" s="109"/>
      <c r="R17" s="109"/>
      <c r="S17" s="109"/>
      <c r="T17" s="109"/>
    </row>
    <row r="18" spans="2:20" ht="25.5">
      <c r="B18" s="307"/>
      <c r="C18" s="177" t="s">
        <v>52</v>
      </c>
      <c r="D18" s="173">
        <v>0</v>
      </c>
      <c r="E18" s="173">
        <v>0</v>
      </c>
      <c r="F18" s="172">
        <v>0</v>
      </c>
      <c r="G18" s="173">
        <v>0</v>
      </c>
      <c r="H18" s="173">
        <v>0</v>
      </c>
      <c r="I18" s="174">
        <f>+D18+E18+F18+G18+H18</f>
        <v>0</v>
      </c>
      <c r="K18" s="109"/>
      <c r="L18" s="109"/>
      <c r="M18" s="109"/>
      <c r="N18" s="109"/>
      <c r="O18" s="109"/>
      <c r="P18" s="109"/>
      <c r="Q18" s="109"/>
      <c r="R18" s="109"/>
      <c r="S18" s="109"/>
      <c r="T18" s="109"/>
    </row>
    <row r="19" spans="2:20">
      <c r="B19" s="307"/>
      <c r="C19" s="177" t="s">
        <v>41</v>
      </c>
      <c r="D19" s="173">
        <v>0</v>
      </c>
      <c r="E19" s="173">
        <v>0</v>
      </c>
      <c r="F19" s="173">
        <v>0</v>
      </c>
      <c r="G19" s="172">
        <v>0</v>
      </c>
      <c r="H19" s="173">
        <v>0</v>
      </c>
      <c r="I19" s="174">
        <f>+D19+E19+F19+G19+H19</f>
        <v>0</v>
      </c>
      <c r="K19" s="109"/>
      <c r="L19" s="109"/>
      <c r="M19" s="109"/>
      <c r="N19" s="109"/>
      <c r="O19" s="109"/>
      <c r="P19" s="109"/>
      <c r="Q19" s="109"/>
      <c r="R19" s="109"/>
      <c r="S19" s="109"/>
      <c r="T19" s="109"/>
    </row>
    <row r="20" spans="2:20" ht="15" customHeight="1">
      <c r="B20" s="307"/>
      <c r="C20" s="177" t="s">
        <v>14</v>
      </c>
      <c r="D20" s="173">
        <v>0</v>
      </c>
      <c r="E20" s="173">
        <v>0</v>
      </c>
      <c r="F20" s="173">
        <v>0</v>
      </c>
      <c r="G20" s="173">
        <v>0</v>
      </c>
      <c r="H20" s="172">
        <v>0</v>
      </c>
      <c r="I20" s="174">
        <f>+D20+E20+F20+G20+H20</f>
        <v>0</v>
      </c>
    </row>
    <row r="21" spans="2:20">
      <c r="B21" s="307"/>
      <c r="C21" s="175" t="s">
        <v>154</v>
      </c>
      <c r="D21" s="176">
        <f t="shared" ref="D21:I21" si="1">SUM(D16:D20)</f>
        <v>0</v>
      </c>
      <c r="E21" s="176">
        <f t="shared" si="1"/>
        <v>52170.36338861999</v>
      </c>
      <c r="F21" s="176">
        <f t="shared" si="1"/>
        <v>10707.63464835</v>
      </c>
      <c r="G21" s="176">
        <f t="shared" si="1"/>
        <v>8037.4038840000003</v>
      </c>
      <c r="H21" s="176">
        <f t="shared" si="1"/>
        <v>25657.091538339995</v>
      </c>
      <c r="I21" s="176">
        <f t="shared" si="1"/>
        <v>96572.49345930999</v>
      </c>
    </row>
    <row r="22" spans="2:20">
      <c r="B22" s="306" t="s">
        <v>54</v>
      </c>
      <c r="C22" s="171" t="s">
        <v>13</v>
      </c>
      <c r="D22" s="172">
        <v>0</v>
      </c>
      <c r="E22" s="178">
        <v>2813.3790479900003</v>
      </c>
      <c r="F22" s="178">
        <v>0</v>
      </c>
      <c r="G22" s="178">
        <v>5427.2004390000002</v>
      </c>
      <c r="H22" s="178">
        <v>32310.510065190003</v>
      </c>
      <c r="I22" s="174">
        <f>+D22+E22+F22+G22+H22</f>
        <v>40551.089552180005</v>
      </c>
      <c r="J22" s="83"/>
    </row>
    <row r="23" spans="2:20" ht="25.5">
      <c r="B23" s="306"/>
      <c r="C23" s="171" t="s">
        <v>51</v>
      </c>
      <c r="D23" s="173">
        <v>0</v>
      </c>
      <c r="E23" s="172">
        <v>0</v>
      </c>
      <c r="F23" s="173">
        <v>0</v>
      </c>
      <c r="G23" s="173">
        <v>0</v>
      </c>
      <c r="H23" s="173">
        <v>0</v>
      </c>
      <c r="I23" s="174">
        <f>+D23+E23+F23+G23+H23</f>
        <v>0</v>
      </c>
    </row>
    <row r="24" spans="2:20" ht="25.5">
      <c r="B24" s="306"/>
      <c r="C24" s="171" t="s">
        <v>52</v>
      </c>
      <c r="D24" s="173">
        <v>0</v>
      </c>
      <c r="E24" s="173">
        <v>0</v>
      </c>
      <c r="F24" s="172">
        <v>0</v>
      </c>
      <c r="G24" s="173">
        <v>0</v>
      </c>
      <c r="H24" s="173">
        <v>0</v>
      </c>
      <c r="I24" s="174">
        <f>+D24+E24+F24+G24+H24</f>
        <v>0</v>
      </c>
    </row>
    <row r="25" spans="2:20">
      <c r="B25" s="306"/>
      <c r="C25" s="171" t="s">
        <v>41</v>
      </c>
      <c r="D25" s="173">
        <v>0</v>
      </c>
      <c r="E25" s="173">
        <v>0</v>
      </c>
      <c r="F25" s="173">
        <v>0</v>
      </c>
      <c r="G25" s="172">
        <v>0</v>
      </c>
      <c r="H25" s="173">
        <v>0</v>
      </c>
      <c r="I25" s="174">
        <f>+D25+E25+F25+G25+H25</f>
        <v>0</v>
      </c>
    </row>
    <row r="26" spans="2:20" ht="15" customHeight="1">
      <c r="B26" s="306"/>
      <c r="C26" s="171" t="s">
        <v>14</v>
      </c>
      <c r="D26" s="173">
        <v>0</v>
      </c>
      <c r="E26" s="173">
        <v>0</v>
      </c>
      <c r="F26" s="173">
        <v>0</v>
      </c>
      <c r="G26" s="173">
        <v>0</v>
      </c>
      <c r="H26" s="172">
        <v>0</v>
      </c>
      <c r="I26" s="174">
        <f>+D26+E26+F26+G26+H26</f>
        <v>0</v>
      </c>
    </row>
    <row r="27" spans="2:20">
      <c r="B27" s="306"/>
      <c r="C27" s="175" t="s">
        <v>154</v>
      </c>
      <c r="D27" s="176">
        <f t="shared" ref="D27:I27" si="2">SUM(D22:D26)</f>
        <v>0</v>
      </c>
      <c r="E27" s="176">
        <f t="shared" si="2"/>
        <v>2813.3790479900003</v>
      </c>
      <c r="F27" s="176">
        <f t="shared" si="2"/>
        <v>0</v>
      </c>
      <c r="G27" s="176">
        <f t="shared" si="2"/>
        <v>5427.2004390000002</v>
      </c>
      <c r="H27" s="176">
        <f t="shared" si="2"/>
        <v>32310.510065190003</v>
      </c>
      <c r="I27" s="176">
        <f t="shared" si="2"/>
        <v>40551.089552180005</v>
      </c>
      <c r="J27" s="109"/>
    </row>
    <row r="28" spans="2:20">
      <c r="B28" s="307" t="s">
        <v>55</v>
      </c>
      <c r="C28" s="177" t="s">
        <v>13</v>
      </c>
      <c r="D28" s="172">
        <v>0</v>
      </c>
      <c r="E28" s="173">
        <v>0</v>
      </c>
      <c r="F28" s="173">
        <v>0</v>
      </c>
      <c r="G28" s="173">
        <v>0</v>
      </c>
      <c r="H28" s="173">
        <v>0</v>
      </c>
      <c r="I28" s="174">
        <f>+D28+E28+F28+G28+H28</f>
        <v>0</v>
      </c>
      <c r="J28" s="83"/>
    </row>
    <row r="29" spans="2:20" ht="25.5">
      <c r="B29" s="307"/>
      <c r="C29" s="177" t="s">
        <v>51</v>
      </c>
      <c r="D29" s="173">
        <v>0</v>
      </c>
      <c r="E29" s="172">
        <v>0</v>
      </c>
      <c r="F29" s="173">
        <v>0</v>
      </c>
      <c r="G29" s="173">
        <v>0</v>
      </c>
      <c r="H29" s="173">
        <v>0</v>
      </c>
      <c r="I29" s="174">
        <f>+D29+E29+F29+G29+H29</f>
        <v>0</v>
      </c>
      <c r="J29" s="109"/>
    </row>
    <row r="30" spans="2:20" ht="25.5">
      <c r="B30" s="307"/>
      <c r="C30" s="177" t="s">
        <v>52</v>
      </c>
      <c r="D30" s="173">
        <v>0</v>
      </c>
      <c r="E30" s="173">
        <v>0</v>
      </c>
      <c r="F30" s="172">
        <v>0</v>
      </c>
      <c r="G30" s="173">
        <v>0</v>
      </c>
      <c r="H30" s="173">
        <v>0</v>
      </c>
      <c r="I30" s="174">
        <f>+D30+E30+F30+G30+H30</f>
        <v>0</v>
      </c>
      <c r="J30" s="109"/>
    </row>
    <row r="31" spans="2:20">
      <c r="B31" s="307"/>
      <c r="C31" s="177" t="s">
        <v>41</v>
      </c>
      <c r="D31" s="173">
        <v>0</v>
      </c>
      <c r="E31" s="173">
        <v>0</v>
      </c>
      <c r="F31" s="173">
        <v>0</v>
      </c>
      <c r="G31" s="172">
        <v>0</v>
      </c>
      <c r="H31" s="173"/>
      <c r="I31" s="174">
        <f>+D31+E31+F31+G31+H31</f>
        <v>0</v>
      </c>
    </row>
    <row r="32" spans="2:20">
      <c r="B32" s="307"/>
      <c r="C32" s="177" t="s">
        <v>14</v>
      </c>
      <c r="D32" s="173">
        <v>0</v>
      </c>
      <c r="E32" s="173">
        <v>0</v>
      </c>
      <c r="F32" s="173">
        <v>0</v>
      </c>
      <c r="G32" s="173">
        <v>0</v>
      </c>
      <c r="H32" s="172">
        <v>0</v>
      </c>
      <c r="I32" s="174">
        <f>+D32+E32+F32+G32+H32</f>
        <v>0</v>
      </c>
    </row>
    <row r="33" spans="2:12">
      <c r="B33" s="307"/>
      <c r="C33" s="175" t="s">
        <v>154</v>
      </c>
      <c r="D33" s="176">
        <f t="shared" ref="D33:I33" si="3">SUM(D28:D32)</f>
        <v>0</v>
      </c>
      <c r="E33" s="176">
        <f t="shared" si="3"/>
        <v>0</v>
      </c>
      <c r="F33" s="176">
        <f t="shared" si="3"/>
        <v>0</v>
      </c>
      <c r="G33" s="176">
        <f t="shared" si="3"/>
        <v>0</v>
      </c>
      <c r="H33" s="176">
        <f t="shared" si="3"/>
        <v>0</v>
      </c>
      <c r="I33" s="176">
        <f t="shared" si="3"/>
        <v>0</v>
      </c>
    </row>
    <row r="34" spans="2:12">
      <c r="B34" s="307" t="s">
        <v>56</v>
      </c>
      <c r="C34" s="177" t="s">
        <v>13</v>
      </c>
      <c r="D34" s="172">
        <f t="shared" ref="D34:I36" si="4">+D10+D16+D22+D28</f>
        <v>0</v>
      </c>
      <c r="E34" s="173">
        <f t="shared" si="4"/>
        <v>54983.742436609988</v>
      </c>
      <c r="F34" s="173">
        <f t="shared" si="4"/>
        <v>10707.63464835</v>
      </c>
      <c r="G34" s="173">
        <f t="shared" si="4"/>
        <v>13464.604323</v>
      </c>
      <c r="H34" s="173">
        <f t="shared" si="4"/>
        <v>61103.605275790003</v>
      </c>
      <c r="I34" s="174">
        <f t="shared" si="4"/>
        <v>140259.58668375001</v>
      </c>
    </row>
    <row r="35" spans="2:12" ht="25.9" customHeight="1">
      <c r="B35" s="307"/>
      <c r="C35" s="179" t="s">
        <v>51</v>
      </c>
      <c r="D35" s="173">
        <f t="shared" si="4"/>
        <v>0</v>
      </c>
      <c r="E35" s="172">
        <f t="shared" si="4"/>
        <v>0</v>
      </c>
      <c r="F35" s="173">
        <f t="shared" si="4"/>
        <v>0</v>
      </c>
      <c r="G35" s="173">
        <f t="shared" si="4"/>
        <v>0</v>
      </c>
      <c r="H35" s="173">
        <f t="shared" si="4"/>
        <v>112.17553546999984</v>
      </c>
      <c r="I35" s="174">
        <f t="shared" si="4"/>
        <v>112.17553546999984</v>
      </c>
    </row>
    <row r="36" spans="2:12" ht="25.5">
      <c r="B36" s="307"/>
      <c r="C36" s="177" t="s">
        <v>52</v>
      </c>
      <c r="D36" s="173">
        <f t="shared" si="4"/>
        <v>0</v>
      </c>
      <c r="E36" s="173">
        <f t="shared" si="4"/>
        <v>0</v>
      </c>
      <c r="F36" s="172">
        <f t="shared" si="4"/>
        <v>0</v>
      </c>
      <c r="G36" s="173">
        <f t="shared" si="4"/>
        <v>0</v>
      </c>
      <c r="H36" s="173">
        <f t="shared" si="4"/>
        <v>20.175816690000005</v>
      </c>
      <c r="I36" s="174">
        <f t="shared" si="4"/>
        <v>20.175816690000005</v>
      </c>
    </row>
    <row r="37" spans="2:12">
      <c r="B37" s="307"/>
      <c r="C37" s="177" t="s">
        <v>41</v>
      </c>
      <c r="D37" s="173">
        <f t="shared" ref="D37:I37" si="5">+D13+D19+D25+D31</f>
        <v>0</v>
      </c>
      <c r="E37" s="173">
        <f t="shared" si="5"/>
        <v>0</v>
      </c>
      <c r="F37" s="173">
        <f t="shared" si="5"/>
        <v>0</v>
      </c>
      <c r="G37" s="172">
        <f t="shared" si="5"/>
        <v>0</v>
      </c>
      <c r="H37" s="173">
        <f t="shared" si="5"/>
        <v>426.16891500000003</v>
      </c>
      <c r="I37" s="174">
        <f t="shared" si="5"/>
        <v>426.16891500000003</v>
      </c>
    </row>
    <row r="38" spans="2:12">
      <c r="B38" s="307"/>
      <c r="C38" s="177" t="s">
        <v>14</v>
      </c>
      <c r="D38" s="173">
        <f t="shared" ref="D38:I38" si="6">+D14+D20+D26+D32</f>
        <v>0</v>
      </c>
      <c r="E38" s="173">
        <f t="shared" si="6"/>
        <v>0</v>
      </c>
      <c r="F38" s="173">
        <f t="shared" si="6"/>
        <v>0</v>
      </c>
      <c r="G38" s="173">
        <f t="shared" si="6"/>
        <v>0</v>
      </c>
      <c r="H38" s="172">
        <f t="shared" si="6"/>
        <v>85281.030643549981</v>
      </c>
      <c r="I38" s="174">
        <f t="shared" si="6"/>
        <v>85281.030643549981</v>
      </c>
    </row>
    <row r="39" spans="2:12">
      <c r="B39" s="309" t="s">
        <v>57</v>
      </c>
      <c r="C39" s="309"/>
      <c r="D39" s="190">
        <f t="shared" ref="D39:I39" si="7">+D38+D37+D36+D35+D34</f>
        <v>0</v>
      </c>
      <c r="E39" s="190">
        <f t="shared" si="7"/>
        <v>54983.742436609988</v>
      </c>
      <c r="F39" s="190">
        <f t="shared" si="7"/>
        <v>10707.63464835</v>
      </c>
      <c r="G39" s="190">
        <f t="shared" si="7"/>
        <v>13464.604323</v>
      </c>
      <c r="H39" s="190">
        <f t="shared" si="7"/>
        <v>146943.15618649998</v>
      </c>
      <c r="I39" s="190">
        <f t="shared" si="7"/>
        <v>226099.13759445999</v>
      </c>
    </row>
    <row r="40" spans="2:12">
      <c r="B40" s="302" t="s">
        <v>45</v>
      </c>
      <c r="C40" s="302"/>
      <c r="D40" s="302"/>
      <c r="E40" s="302"/>
      <c r="F40" s="302"/>
      <c r="G40" s="302"/>
      <c r="H40" s="302"/>
      <c r="I40" s="59"/>
    </row>
    <row r="42" spans="2:12">
      <c r="L42" s="89"/>
    </row>
  </sheetData>
  <mergeCells count="17">
    <mergeCell ref="K5:K6"/>
    <mergeCell ref="B34:B38"/>
    <mergeCell ref="B39:C39"/>
    <mergeCell ref="B40:H40"/>
    <mergeCell ref="B7:I7"/>
    <mergeCell ref="B8:B9"/>
    <mergeCell ref="C8:C9"/>
    <mergeCell ref="B10:B15"/>
    <mergeCell ref="B16:B21"/>
    <mergeCell ref="B22:B27"/>
    <mergeCell ref="B28:B33"/>
    <mergeCell ref="D8:I8"/>
    <mergeCell ref="B1:I1"/>
    <mergeCell ref="B2:I2"/>
    <mergeCell ref="B3:I3"/>
    <mergeCell ref="B5:I5"/>
    <mergeCell ref="B6:I6"/>
  </mergeCells>
  <pageMargins left="0.7" right="0.7" top="0.75" bottom="0.75" header="0.3" footer="0.3"/>
  <pageSetup orientation="portrait" r:id="rId1"/>
  <ignoredErrors>
    <ignoredError sqref="I15 I27 I2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topLeftCell="B1" workbookViewId="0">
      <selection activeCell="O21" sqref="O21"/>
    </sheetView>
  </sheetViews>
  <sheetFormatPr baseColWidth="10" defaultColWidth="11.42578125" defaultRowHeight="15"/>
  <cols>
    <col min="1" max="1" width="11.42578125" style="19" customWidth="1"/>
    <col min="2" max="2" width="11.42578125" style="19"/>
    <col min="3" max="3" width="11.42578125" style="19" customWidth="1"/>
    <col min="4" max="4" width="17.42578125" style="19" customWidth="1"/>
    <col min="5" max="5" width="32.85546875" style="19" customWidth="1"/>
    <col min="6" max="6" width="9.7109375" style="19" customWidth="1"/>
    <col min="7" max="7" width="17" style="19" customWidth="1"/>
    <col min="8" max="8" width="14.28515625" style="19" customWidth="1"/>
    <col min="9" max="9" width="10" style="19" customWidth="1"/>
    <col min="10" max="10" width="11.28515625" style="19" customWidth="1"/>
    <col min="11" max="11" width="11.85546875" style="19" customWidth="1"/>
    <col min="12" max="12" width="8.7109375" style="19" customWidth="1"/>
    <col min="13" max="16384" width="11.42578125" style="19"/>
  </cols>
  <sheetData>
    <row r="1" spans="1:14" ht="28.5" customHeight="1">
      <c r="A1" s="245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1">
      <c r="A2" s="247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5.75" customHeight="1">
      <c r="A3" s="280" t="s">
        <v>10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1:14" ht="15.75"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</row>
    <row r="5" spans="1:14" ht="18.75">
      <c r="A5" s="300" t="s">
        <v>242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</row>
    <row r="6" spans="1:14" ht="18.75">
      <c r="A6" s="300" t="s">
        <v>196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</row>
    <row r="7" spans="1:14" ht="15.75">
      <c r="A7" s="303" t="s">
        <v>58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</row>
    <row r="8" spans="1:14" ht="15.6" customHeight="1">
      <c r="A8" s="117"/>
      <c r="B8" s="117"/>
      <c r="C8" s="117"/>
      <c r="D8" s="304" t="s">
        <v>47</v>
      </c>
      <c r="E8" s="304" t="s">
        <v>48</v>
      </c>
      <c r="F8" s="308" t="s">
        <v>49</v>
      </c>
      <c r="G8" s="308"/>
      <c r="H8" s="308"/>
      <c r="I8" s="308"/>
      <c r="J8" s="308"/>
      <c r="K8" s="308"/>
      <c r="L8" s="117"/>
    </row>
    <row r="9" spans="1:14" ht="51">
      <c r="D9" s="304"/>
      <c r="E9" s="304"/>
      <c r="F9" s="184" t="s">
        <v>13</v>
      </c>
      <c r="G9" s="184" t="s">
        <v>141</v>
      </c>
      <c r="H9" s="184" t="s">
        <v>174</v>
      </c>
      <c r="I9" s="184" t="s">
        <v>41</v>
      </c>
      <c r="J9" s="184" t="s">
        <v>14</v>
      </c>
      <c r="K9" s="184" t="s">
        <v>175</v>
      </c>
      <c r="L9" s="83"/>
    </row>
    <row r="10" spans="1:14" ht="15" customHeight="1">
      <c r="D10" s="314" t="s">
        <v>50</v>
      </c>
      <c r="E10" s="185" t="s">
        <v>13</v>
      </c>
      <c r="F10" s="186">
        <v>0</v>
      </c>
      <c r="G10" s="187">
        <v>0</v>
      </c>
      <c r="H10" s="187">
        <v>0</v>
      </c>
      <c r="I10" s="187">
        <v>0</v>
      </c>
      <c r="J10" s="187">
        <v>1124.5952259999999</v>
      </c>
      <c r="K10" s="187">
        <f>SUM(F10:J10)</f>
        <v>1124.5952259999999</v>
      </c>
      <c r="L10" s="83"/>
    </row>
    <row r="11" spans="1:14" ht="26.25">
      <c r="D11" s="315"/>
      <c r="E11" s="185" t="s">
        <v>51</v>
      </c>
      <c r="F11" s="187">
        <v>0</v>
      </c>
      <c r="G11" s="186">
        <v>0</v>
      </c>
      <c r="H11" s="187">
        <v>0</v>
      </c>
      <c r="I11" s="187">
        <v>0</v>
      </c>
      <c r="J11" s="187">
        <v>304.73987899999997</v>
      </c>
      <c r="K11" s="187">
        <f t="shared" ref="K11:K33" si="0">SUM(F11:J11)</f>
        <v>304.73987899999997</v>
      </c>
      <c r="L11" s="83"/>
    </row>
    <row r="12" spans="1:14" ht="26.25">
      <c r="D12" s="315"/>
      <c r="E12" s="185" t="s">
        <v>52</v>
      </c>
      <c r="F12" s="187">
        <v>0</v>
      </c>
      <c r="G12" s="187">
        <v>0</v>
      </c>
      <c r="H12" s="186">
        <v>0</v>
      </c>
      <c r="I12" s="187">
        <v>0</v>
      </c>
      <c r="J12" s="187">
        <v>78.075315000000003</v>
      </c>
      <c r="K12" s="187">
        <f t="shared" si="0"/>
        <v>78.075315000000003</v>
      </c>
      <c r="L12" s="83"/>
    </row>
    <row r="13" spans="1:14">
      <c r="D13" s="315"/>
      <c r="E13" s="185" t="s">
        <v>41</v>
      </c>
      <c r="F13" s="187">
        <v>0</v>
      </c>
      <c r="G13" s="187">
        <v>0</v>
      </c>
      <c r="H13" s="187">
        <v>0</v>
      </c>
      <c r="I13" s="186">
        <v>0</v>
      </c>
      <c r="J13" s="187">
        <v>415.974782</v>
      </c>
      <c r="K13" s="187">
        <f t="shared" si="0"/>
        <v>415.974782</v>
      </c>
      <c r="L13" s="83"/>
    </row>
    <row r="14" spans="1:14">
      <c r="D14" s="315"/>
      <c r="E14" s="185" t="s">
        <v>14</v>
      </c>
      <c r="F14" s="187">
        <v>0</v>
      </c>
      <c r="G14" s="187">
        <v>0</v>
      </c>
      <c r="H14" s="187">
        <v>0</v>
      </c>
      <c r="I14" s="187">
        <v>0</v>
      </c>
      <c r="J14" s="186">
        <v>13857.410019000001</v>
      </c>
      <c r="K14" s="187">
        <f t="shared" si="0"/>
        <v>13857.410019000001</v>
      </c>
      <c r="L14" s="83"/>
      <c r="M14" s="94"/>
      <c r="N14" s="105"/>
    </row>
    <row r="15" spans="1:14">
      <c r="D15" s="305"/>
      <c r="E15" s="188" t="s">
        <v>154</v>
      </c>
      <c r="F15" s="189">
        <f>SUM(F10:F14)</f>
        <v>0</v>
      </c>
      <c r="G15" s="189">
        <f t="shared" ref="G15:J15" si="1">SUM(G10:G14)</f>
        <v>0</v>
      </c>
      <c r="H15" s="189">
        <f t="shared" si="1"/>
        <v>0</v>
      </c>
      <c r="I15" s="189">
        <f t="shared" si="1"/>
        <v>0</v>
      </c>
      <c r="J15" s="189">
        <f t="shared" si="1"/>
        <v>15780.795221</v>
      </c>
      <c r="K15" s="189">
        <f t="shared" si="0"/>
        <v>15780.795221</v>
      </c>
      <c r="L15" s="83"/>
    </row>
    <row r="16" spans="1:14" ht="15" customHeight="1">
      <c r="D16" s="310" t="s">
        <v>53</v>
      </c>
      <c r="E16" s="185" t="s">
        <v>13</v>
      </c>
      <c r="F16" s="186">
        <v>0</v>
      </c>
      <c r="G16" s="187">
        <v>63820.201852999999</v>
      </c>
      <c r="H16" s="187">
        <v>10989.771072</v>
      </c>
      <c r="I16" s="187">
        <v>8432.315799</v>
      </c>
      <c r="J16" s="187">
        <v>24101.536783</v>
      </c>
      <c r="K16" s="187">
        <f t="shared" si="0"/>
        <v>107343.825507</v>
      </c>
      <c r="L16" s="83"/>
    </row>
    <row r="17" spans="4:17" ht="26.25">
      <c r="D17" s="311"/>
      <c r="E17" s="185" t="s">
        <v>51</v>
      </c>
      <c r="F17" s="187">
        <v>0</v>
      </c>
      <c r="G17" s="186">
        <v>15</v>
      </c>
      <c r="H17" s="187">
        <v>0</v>
      </c>
      <c r="I17" s="187">
        <v>0</v>
      </c>
      <c r="J17" s="187">
        <v>0</v>
      </c>
      <c r="K17" s="187">
        <f t="shared" si="0"/>
        <v>15</v>
      </c>
      <c r="L17" s="83"/>
    </row>
    <row r="18" spans="4:17" ht="26.25">
      <c r="D18" s="311"/>
      <c r="E18" s="185" t="s">
        <v>52</v>
      </c>
      <c r="F18" s="187">
        <v>0</v>
      </c>
      <c r="G18" s="187">
        <v>0</v>
      </c>
      <c r="H18" s="186">
        <v>9340.5319999999992</v>
      </c>
      <c r="I18" s="187">
        <v>0</v>
      </c>
      <c r="J18" s="187">
        <v>0</v>
      </c>
      <c r="K18" s="187">
        <f t="shared" si="0"/>
        <v>9340.5319999999992</v>
      </c>
      <c r="L18" s="83"/>
      <c r="N18" s="105"/>
      <c r="O18" s="105"/>
      <c r="P18" s="84"/>
      <c r="Q18" s="84"/>
    </row>
    <row r="19" spans="4:17">
      <c r="D19" s="311"/>
      <c r="E19" s="185" t="s">
        <v>41</v>
      </c>
      <c r="F19" s="187">
        <v>0</v>
      </c>
      <c r="G19" s="187">
        <v>0</v>
      </c>
      <c r="H19" s="187">
        <v>0</v>
      </c>
      <c r="I19" s="186">
        <v>0</v>
      </c>
      <c r="J19" s="187">
        <v>0</v>
      </c>
      <c r="K19" s="187">
        <f t="shared" si="0"/>
        <v>0</v>
      </c>
      <c r="L19" s="83"/>
    </row>
    <row r="20" spans="4:17">
      <c r="D20" s="311"/>
      <c r="E20" s="185" t="s">
        <v>14</v>
      </c>
      <c r="F20" s="187">
        <v>0</v>
      </c>
      <c r="G20" s="187">
        <v>0</v>
      </c>
      <c r="H20" s="187">
        <v>0</v>
      </c>
      <c r="I20" s="187">
        <v>0</v>
      </c>
      <c r="J20" s="186">
        <v>0</v>
      </c>
      <c r="K20" s="187">
        <f t="shared" si="0"/>
        <v>0</v>
      </c>
      <c r="L20" s="83"/>
    </row>
    <row r="21" spans="4:17">
      <c r="D21" s="312"/>
      <c r="E21" s="188" t="s">
        <v>154</v>
      </c>
      <c r="F21" s="189">
        <f>SUM(F16:F20)</f>
        <v>0</v>
      </c>
      <c r="G21" s="189">
        <f t="shared" ref="G21:J21" si="2">SUM(G16:G20)</f>
        <v>63835.201852999999</v>
      </c>
      <c r="H21" s="189">
        <f t="shared" si="2"/>
        <v>20330.303071999999</v>
      </c>
      <c r="I21" s="189">
        <f t="shared" si="2"/>
        <v>8432.315799</v>
      </c>
      <c r="J21" s="189">
        <f t="shared" si="2"/>
        <v>24101.536783</v>
      </c>
      <c r="K21" s="189">
        <f t="shared" si="0"/>
        <v>116699.35750700001</v>
      </c>
      <c r="L21" s="83"/>
      <c r="N21" s="105"/>
      <c r="O21" s="84"/>
      <c r="P21" s="118"/>
    </row>
    <row r="22" spans="4:17" ht="15" customHeight="1">
      <c r="D22" s="310" t="s">
        <v>54</v>
      </c>
      <c r="E22" s="185" t="s">
        <v>13</v>
      </c>
      <c r="F22" s="186">
        <v>0</v>
      </c>
      <c r="G22" s="187">
        <v>7428.7704350000004</v>
      </c>
      <c r="H22" s="187">
        <v>0</v>
      </c>
      <c r="I22" s="187">
        <v>5625.12878</v>
      </c>
      <c r="J22" s="187">
        <v>15214.515625</v>
      </c>
      <c r="K22" s="187">
        <f t="shared" si="0"/>
        <v>28268.414840000001</v>
      </c>
      <c r="L22" s="83"/>
      <c r="N22" s="94"/>
    </row>
    <row r="23" spans="4:17" ht="26.25">
      <c r="D23" s="311"/>
      <c r="E23" s="185" t="s">
        <v>51</v>
      </c>
      <c r="F23" s="187">
        <v>0</v>
      </c>
      <c r="G23" s="186">
        <v>0</v>
      </c>
      <c r="H23" s="187">
        <v>0</v>
      </c>
      <c r="I23" s="187">
        <v>0</v>
      </c>
      <c r="J23" s="187">
        <v>0</v>
      </c>
      <c r="K23" s="187">
        <f t="shared" si="0"/>
        <v>0</v>
      </c>
      <c r="L23" s="83"/>
    </row>
    <row r="24" spans="4:17" ht="26.25">
      <c r="D24" s="311"/>
      <c r="E24" s="185" t="s">
        <v>52</v>
      </c>
      <c r="F24" s="187">
        <v>0</v>
      </c>
      <c r="G24" s="187">
        <v>0</v>
      </c>
      <c r="H24" s="186">
        <v>0</v>
      </c>
      <c r="I24" s="187">
        <v>0</v>
      </c>
      <c r="J24" s="187">
        <v>0</v>
      </c>
      <c r="K24" s="187">
        <f t="shared" si="0"/>
        <v>0</v>
      </c>
      <c r="L24" s="83"/>
    </row>
    <row r="25" spans="4:17">
      <c r="D25" s="311"/>
      <c r="E25" s="185" t="s">
        <v>41</v>
      </c>
      <c r="F25" s="187">
        <v>0</v>
      </c>
      <c r="G25" s="187">
        <v>0</v>
      </c>
      <c r="H25" s="187">
        <v>0</v>
      </c>
      <c r="I25" s="186">
        <v>0</v>
      </c>
      <c r="J25" s="187">
        <v>0</v>
      </c>
      <c r="K25" s="187">
        <f t="shared" si="0"/>
        <v>0</v>
      </c>
      <c r="L25" s="83"/>
    </row>
    <row r="26" spans="4:17">
      <c r="D26" s="311"/>
      <c r="E26" s="185" t="s">
        <v>14</v>
      </c>
      <c r="F26" s="187">
        <v>0</v>
      </c>
      <c r="G26" s="187">
        <v>0</v>
      </c>
      <c r="H26" s="187">
        <v>0</v>
      </c>
      <c r="I26" s="187">
        <v>0</v>
      </c>
      <c r="J26" s="186">
        <v>0</v>
      </c>
      <c r="K26" s="187">
        <f t="shared" si="0"/>
        <v>0</v>
      </c>
      <c r="L26" s="83"/>
    </row>
    <row r="27" spans="4:17">
      <c r="D27" s="312"/>
      <c r="E27" s="188" t="s">
        <v>154</v>
      </c>
      <c r="F27" s="189">
        <f>SUM(F22:F26)</f>
        <v>0</v>
      </c>
      <c r="G27" s="189">
        <f t="shared" ref="G27:J27" si="3">SUM(G22:G26)</f>
        <v>7428.7704350000004</v>
      </c>
      <c r="H27" s="189">
        <f t="shared" si="3"/>
        <v>0</v>
      </c>
      <c r="I27" s="189">
        <f t="shared" si="3"/>
        <v>5625.12878</v>
      </c>
      <c r="J27" s="189">
        <f t="shared" si="3"/>
        <v>15214.515625</v>
      </c>
      <c r="K27" s="189">
        <f t="shared" si="0"/>
        <v>28268.414840000001</v>
      </c>
      <c r="L27" s="83"/>
    </row>
    <row r="28" spans="4:17" ht="15" customHeight="1">
      <c r="D28" s="310" t="s">
        <v>55</v>
      </c>
      <c r="E28" s="185" t="s">
        <v>13</v>
      </c>
      <c r="F28" s="186">
        <v>0</v>
      </c>
      <c r="G28" s="187">
        <v>1710.26</v>
      </c>
      <c r="H28" s="187">
        <v>0</v>
      </c>
      <c r="I28" s="187">
        <v>0</v>
      </c>
      <c r="J28" s="187">
        <v>12124.182036</v>
      </c>
      <c r="K28" s="187">
        <f t="shared" si="0"/>
        <v>13834.442036</v>
      </c>
      <c r="L28" s="83"/>
    </row>
    <row r="29" spans="4:17" ht="26.25">
      <c r="D29" s="311"/>
      <c r="E29" s="185" t="s">
        <v>51</v>
      </c>
      <c r="F29" s="187">
        <v>0</v>
      </c>
      <c r="G29" s="186">
        <v>0</v>
      </c>
      <c r="H29" s="187">
        <v>0</v>
      </c>
      <c r="I29" s="187">
        <v>0</v>
      </c>
      <c r="J29" s="187">
        <v>0</v>
      </c>
      <c r="K29" s="187">
        <f t="shared" si="0"/>
        <v>0</v>
      </c>
      <c r="L29" s="83"/>
    </row>
    <row r="30" spans="4:17" ht="26.25">
      <c r="D30" s="311"/>
      <c r="E30" s="185" t="s">
        <v>52</v>
      </c>
      <c r="F30" s="187">
        <v>0</v>
      </c>
      <c r="G30" s="187">
        <v>0</v>
      </c>
      <c r="H30" s="186">
        <v>0</v>
      </c>
      <c r="I30" s="187">
        <v>0</v>
      </c>
      <c r="J30" s="187">
        <v>0</v>
      </c>
      <c r="K30" s="187">
        <f t="shared" si="0"/>
        <v>0</v>
      </c>
      <c r="L30" s="83"/>
    </row>
    <row r="31" spans="4:17">
      <c r="D31" s="311"/>
      <c r="E31" s="185" t="s">
        <v>41</v>
      </c>
      <c r="F31" s="187">
        <v>0</v>
      </c>
      <c r="G31" s="187">
        <v>0</v>
      </c>
      <c r="H31" s="187">
        <v>0</v>
      </c>
      <c r="I31" s="186">
        <v>0</v>
      </c>
      <c r="J31" s="187">
        <v>0</v>
      </c>
      <c r="K31" s="187">
        <f t="shared" si="0"/>
        <v>0</v>
      </c>
      <c r="L31" s="83"/>
    </row>
    <row r="32" spans="4:17">
      <c r="D32" s="311"/>
      <c r="E32" s="185" t="s">
        <v>14</v>
      </c>
      <c r="F32" s="187">
        <v>0</v>
      </c>
      <c r="G32" s="187">
        <v>0</v>
      </c>
      <c r="H32" s="187">
        <v>0</v>
      </c>
      <c r="I32" s="187">
        <v>0</v>
      </c>
      <c r="J32" s="186">
        <v>0</v>
      </c>
      <c r="K32" s="187">
        <f t="shared" si="0"/>
        <v>0</v>
      </c>
      <c r="L32" s="83"/>
    </row>
    <row r="33" spans="4:14">
      <c r="D33" s="312"/>
      <c r="E33" s="188" t="s">
        <v>154</v>
      </c>
      <c r="F33" s="189">
        <f>SUM(F28:F32)</f>
        <v>0</v>
      </c>
      <c r="G33" s="189">
        <f t="shared" ref="G33:J33" si="4">SUM(G28:G32)</f>
        <v>1710.26</v>
      </c>
      <c r="H33" s="189">
        <f t="shared" si="4"/>
        <v>0</v>
      </c>
      <c r="I33" s="189">
        <f t="shared" si="4"/>
        <v>0</v>
      </c>
      <c r="J33" s="189">
        <f t="shared" si="4"/>
        <v>12124.182036</v>
      </c>
      <c r="K33" s="189">
        <f t="shared" si="0"/>
        <v>13834.442036</v>
      </c>
      <c r="L33" s="83"/>
    </row>
    <row r="34" spans="4:14">
      <c r="D34" s="307" t="s">
        <v>56</v>
      </c>
      <c r="E34" s="185" t="s">
        <v>13</v>
      </c>
      <c r="F34" s="186">
        <f>+F10+F16+F22+F28</f>
        <v>0</v>
      </c>
      <c r="G34" s="187">
        <f t="shared" ref="G34:K34" si="5">+G10+G16+G22+G28</f>
        <v>72959.232287999999</v>
      </c>
      <c r="H34" s="187">
        <f t="shared" si="5"/>
        <v>10989.771072</v>
      </c>
      <c r="I34" s="187">
        <f t="shared" si="5"/>
        <v>14057.444578999999</v>
      </c>
      <c r="J34" s="187">
        <f t="shared" si="5"/>
        <v>52564.829669999999</v>
      </c>
      <c r="K34" s="187">
        <f t="shared" si="5"/>
        <v>150571.27760900001</v>
      </c>
    </row>
    <row r="35" spans="4:14" ht="26.25">
      <c r="D35" s="307"/>
      <c r="E35" s="185" t="s">
        <v>51</v>
      </c>
      <c r="F35" s="187">
        <f t="shared" ref="F35:K38" si="6">+F11+F17+F23+F29</f>
        <v>0</v>
      </c>
      <c r="G35" s="186">
        <f t="shared" si="6"/>
        <v>15</v>
      </c>
      <c r="H35" s="187">
        <f t="shared" si="6"/>
        <v>0</v>
      </c>
      <c r="I35" s="187">
        <f t="shared" si="6"/>
        <v>0</v>
      </c>
      <c r="J35" s="187">
        <f t="shared" si="6"/>
        <v>304.73987899999997</v>
      </c>
      <c r="K35" s="187">
        <f t="shared" si="6"/>
        <v>319.73987899999997</v>
      </c>
    </row>
    <row r="36" spans="4:14" ht="26.25">
      <c r="D36" s="307"/>
      <c r="E36" s="185" t="s">
        <v>52</v>
      </c>
      <c r="F36" s="187">
        <f t="shared" si="6"/>
        <v>0</v>
      </c>
      <c r="G36" s="187">
        <f t="shared" si="6"/>
        <v>0</v>
      </c>
      <c r="H36" s="186">
        <f t="shared" si="6"/>
        <v>9340.5319999999992</v>
      </c>
      <c r="I36" s="187">
        <f t="shared" si="6"/>
        <v>0</v>
      </c>
      <c r="J36" s="187">
        <f t="shared" si="6"/>
        <v>78.075315000000003</v>
      </c>
      <c r="K36" s="187">
        <f t="shared" si="6"/>
        <v>9418.6073149999993</v>
      </c>
    </row>
    <row r="37" spans="4:14">
      <c r="D37" s="307"/>
      <c r="E37" s="185" t="s">
        <v>41</v>
      </c>
      <c r="F37" s="187">
        <f t="shared" si="6"/>
        <v>0</v>
      </c>
      <c r="G37" s="187">
        <f t="shared" si="6"/>
        <v>0</v>
      </c>
      <c r="H37" s="187">
        <f t="shared" si="6"/>
        <v>0</v>
      </c>
      <c r="I37" s="186">
        <f t="shared" si="6"/>
        <v>0</v>
      </c>
      <c r="J37" s="187">
        <f t="shared" si="6"/>
        <v>415.974782</v>
      </c>
      <c r="K37" s="187">
        <f t="shared" si="6"/>
        <v>415.974782</v>
      </c>
    </row>
    <row r="38" spans="4:14">
      <c r="D38" s="307"/>
      <c r="E38" s="185" t="s">
        <v>14</v>
      </c>
      <c r="F38" s="187">
        <f t="shared" si="6"/>
        <v>0</v>
      </c>
      <c r="G38" s="187">
        <f t="shared" si="6"/>
        <v>0</v>
      </c>
      <c r="H38" s="187">
        <f t="shared" si="6"/>
        <v>0</v>
      </c>
      <c r="I38" s="187">
        <f t="shared" si="6"/>
        <v>0</v>
      </c>
      <c r="J38" s="186">
        <f t="shared" si="6"/>
        <v>13857.410019000001</v>
      </c>
      <c r="K38" s="187">
        <f t="shared" si="6"/>
        <v>13857.410019000001</v>
      </c>
    </row>
    <row r="39" spans="4:14">
      <c r="D39" s="309" t="s">
        <v>57</v>
      </c>
      <c r="E39" s="309"/>
      <c r="F39" s="190">
        <f>+F34+F35+F36+F38+F37</f>
        <v>0</v>
      </c>
      <c r="G39" s="190">
        <f>+G34+G35+G36+G38+G37</f>
        <v>72974.232287999999</v>
      </c>
      <c r="H39" s="190">
        <f t="shared" ref="H39:K39" si="7">+H34+H35+H36+H38+H37</f>
        <v>20330.303071999999</v>
      </c>
      <c r="I39" s="190">
        <f t="shared" si="7"/>
        <v>14057.444578999999</v>
      </c>
      <c r="J39" s="190">
        <f t="shared" si="7"/>
        <v>67221.029665000009</v>
      </c>
      <c r="K39" s="190">
        <f t="shared" si="7"/>
        <v>174583.00960400002</v>
      </c>
      <c r="M39" s="105"/>
      <c r="N39" s="105"/>
    </row>
    <row r="40" spans="4:14">
      <c r="D40" s="313" t="s">
        <v>45</v>
      </c>
      <c r="E40" s="313"/>
      <c r="F40" s="313"/>
      <c r="G40" s="313"/>
      <c r="H40" s="313"/>
      <c r="I40" s="313"/>
      <c r="J40" s="313"/>
      <c r="K40" s="313"/>
      <c r="M40" s="84"/>
    </row>
    <row r="41" spans="4:14">
      <c r="M41" s="118"/>
    </row>
  </sheetData>
  <mergeCells count="17">
    <mergeCell ref="D16:D21"/>
    <mergeCell ref="A1:N1"/>
    <mergeCell ref="A2:N2"/>
    <mergeCell ref="A3:N3"/>
    <mergeCell ref="B4:N4"/>
    <mergeCell ref="A5:N5"/>
    <mergeCell ref="A6:N6"/>
    <mergeCell ref="A7:N7"/>
    <mergeCell ref="D8:D9"/>
    <mergeCell ref="E8:E9"/>
    <mergeCell ref="F8:K8"/>
    <mergeCell ref="D10:D15"/>
    <mergeCell ref="D22:D27"/>
    <mergeCell ref="D28:D33"/>
    <mergeCell ref="D34:D38"/>
    <mergeCell ref="D39:E39"/>
    <mergeCell ref="D40:K4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showGridLines="0" zoomScaleNormal="100" workbookViewId="0">
      <selection activeCell="K26" sqref="K26"/>
    </sheetView>
  </sheetViews>
  <sheetFormatPr baseColWidth="10" defaultColWidth="11.42578125" defaultRowHeight="15"/>
  <cols>
    <col min="1" max="1" width="11.42578125" customWidth="1"/>
    <col min="2" max="2" width="67.42578125" customWidth="1"/>
    <col min="3" max="3" width="11.5703125" style="19" bestFit="1" customWidth="1"/>
    <col min="4" max="4" width="16.5703125" style="19" customWidth="1"/>
    <col min="5" max="5" width="10.7109375" style="19" customWidth="1"/>
    <col min="6" max="6" width="9.85546875" style="19" customWidth="1"/>
    <col min="7" max="7" width="13.140625" style="19" customWidth="1"/>
    <col min="8" max="8" width="11.5703125" bestFit="1" customWidth="1"/>
    <col min="14" max="14" width="12.42578125" bestFit="1" customWidth="1"/>
  </cols>
  <sheetData>
    <row r="1" spans="2:17" ht="28.5" customHeight="1">
      <c r="B1" s="245" t="s">
        <v>0</v>
      </c>
      <c r="C1" s="246"/>
      <c r="D1" s="246"/>
      <c r="E1" s="246"/>
      <c r="F1" s="246"/>
      <c r="G1" s="246"/>
      <c r="H1" s="246"/>
    </row>
    <row r="2" spans="2:17" ht="21">
      <c r="B2" s="247" t="s">
        <v>1</v>
      </c>
      <c r="C2" s="248"/>
      <c r="D2" s="248"/>
      <c r="E2" s="248"/>
      <c r="F2" s="248"/>
      <c r="G2" s="248"/>
      <c r="H2" s="248"/>
    </row>
    <row r="3" spans="2:17" ht="15.75" customHeight="1">
      <c r="B3" s="280" t="s">
        <v>10</v>
      </c>
      <c r="C3" s="281"/>
      <c r="D3" s="281"/>
      <c r="E3" s="281"/>
      <c r="F3" s="281"/>
      <c r="G3" s="281"/>
      <c r="H3" s="281"/>
    </row>
    <row r="4" spans="2:17" ht="15.75">
      <c r="B4" s="19"/>
      <c r="H4" s="19"/>
      <c r="K4" s="103"/>
      <c r="L4" s="104"/>
      <c r="M4" s="104"/>
      <c r="N4" s="104"/>
      <c r="O4" s="104"/>
      <c r="P4" s="104"/>
      <c r="Q4" s="104"/>
    </row>
    <row r="5" spans="2:17" ht="18.75">
      <c r="B5" s="317" t="s">
        <v>181</v>
      </c>
      <c r="C5" s="317"/>
      <c r="D5" s="317"/>
      <c r="E5" s="317"/>
      <c r="F5" s="317"/>
      <c r="G5" s="317"/>
      <c r="H5" s="317"/>
      <c r="K5" s="298"/>
      <c r="L5" s="298"/>
      <c r="M5" s="298"/>
      <c r="N5" s="298"/>
      <c r="O5" s="298"/>
      <c r="P5" s="298"/>
      <c r="Q5" s="298"/>
    </row>
    <row r="6" spans="2:17" ht="18.75">
      <c r="B6" s="317" t="s">
        <v>59</v>
      </c>
      <c r="C6" s="317"/>
      <c r="D6" s="317"/>
      <c r="E6" s="317"/>
      <c r="F6" s="317"/>
      <c r="G6" s="317"/>
      <c r="H6" s="317"/>
      <c r="K6" s="298"/>
      <c r="L6" s="298"/>
      <c r="M6" s="298"/>
      <c r="N6" s="298"/>
      <c r="O6" s="298"/>
      <c r="P6" s="298"/>
      <c r="Q6" s="298"/>
    </row>
    <row r="7" spans="2:17" s="15" customFormat="1" ht="18.75">
      <c r="B7" s="317" t="s">
        <v>196</v>
      </c>
      <c r="C7" s="317"/>
      <c r="D7" s="317"/>
      <c r="E7" s="317"/>
      <c r="F7" s="317"/>
      <c r="G7" s="317"/>
      <c r="H7" s="317"/>
      <c r="K7" s="298"/>
      <c r="L7" s="298"/>
      <c r="M7" s="298"/>
      <c r="N7" s="298"/>
      <c r="O7" s="298"/>
      <c r="P7" s="298"/>
      <c r="Q7" s="298"/>
    </row>
    <row r="8" spans="2:17" ht="16.5" customHeight="1">
      <c r="B8" s="318" t="s">
        <v>12</v>
      </c>
      <c r="C8" s="318"/>
      <c r="D8" s="318"/>
      <c r="E8" s="318"/>
      <c r="F8" s="318"/>
      <c r="G8" s="318"/>
      <c r="H8" s="318"/>
    </row>
    <row r="9" spans="2:17" ht="63" customHeight="1">
      <c r="B9" s="199"/>
      <c r="C9" s="199" t="s">
        <v>13</v>
      </c>
      <c r="D9" s="199" t="s">
        <v>141</v>
      </c>
      <c r="E9" s="199" t="s">
        <v>157</v>
      </c>
      <c r="F9" s="199" t="s">
        <v>143</v>
      </c>
      <c r="G9" s="199" t="s">
        <v>14</v>
      </c>
      <c r="H9" s="199" t="s">
        <v>176</v>
      </c>
    </row>
    <row r="10" spans="2:17">
      <c r="B10" s="192" t="s">
        <v>17</v>
      </c>
      <c r="C10" s="193">
        <f t="shared" ref="C10:H10" si="0">SUM(C11:C17)</f>
        <v>601291497593.97278</v>
      </c>
      <c r="D10" s="193">
        <f t="shared" si="0"/>
        <v>7565286748.4999866</v>
      </c>
      <c r="E10" s="193">
        <f t="shared" si="0"/>
        <v>379244195.94001162</v>
      </c>
      <c r="F10" s="193">
        <f t="shared" si="0"/>
        <v>4846921637</v>
      </c>
      <c r="G10" s="193">
        <f t="shared" si="0"/>
        <v>66222854061.920013</v>
      </c>
      <c r="H10" s="193">
        <f t="shared" si="0"/>
        <v>680305804237.33276</v>
      </c>
    </row>
    <row r="11" spans="2:17">
      <c r="B11" s="194" t="s">
        <v>60</v>
      </c>
      <c r="C11" s="195">
        <v>555166224320.55273</v>
      </c>
      <c r="D11" s="195">
        <v>0</v>
      </c>
      <c r="E11" s="195"/>
      <c r="F11" s="195">
        <v>2350331734</v>
      </c>
      <c r="G11" s="195"/>
      <c r="H11" s="195">
        <f t="shared" ref="H11:H17" si="1">+C11+D11+E11+F11+G11</f>
        <v>557516556054.55273</v>
      </c>
    </row>
    <row r="12" spans="2:17">
      <c r="B12" s="194" t="s">
        <v>61</v>
      </c>
      <c r="C12" s="195">
        <v>2514075468.9999986</v>
      </c>
      <c r="D12" s="195"/>
      <c r="E12" s="195">
        <v>291841814.90999997</v>
      </c>
      <c r="F12" s="195">
        <v>19327677</v>
      </c>
      <c r="G12" s="195"/>
      <c r="H12" s="195">
        <f t="shared" si="1"/>
        <v>2825244960.9099984</v>
      </c>
    </row>
    <row r="13" spans="2:17">
      <c r="B13" s="194" t="s">
        <v>62</v>
      </c>
      <c r="C13" s="195">
        <v>25383945365.249966</v>
      </c>
      <c r="D13" s="196">
        <v>7214182062.4999924</v>
      </c>
      <c r="E13" s="195">
        <v>48766905.039999999</v>
      </c>
      <c r="F13" s="195">
        <v>1879197281</v>
      </c>
      <c r="G13" s="195">
        <v>18671997504.300011</v>
      </c>
      <c r="H13" s="195">
        <f t="shared" si="1"/>
        <v>53198089118.089973</v>
      </c>
    </row>
    <row r="14" spans="2:17">
      <c r="B14" s="194" t="s">
        <v>63</v>
      </c>
      <c r="C14" s="195">
        <v>8927367918.0599995</v>
      </c>
      <c r="D14" s="195">
        <v>0</v>
      </c>
      <c r="E14" s="195">
        <v>0</v>
      </c>
      <c r="F14" s="195">
        <v>129804258</v>
      </c>
      <c r="G14" s="195">
        <v>955253</v>
      </c>
      <c r="H14" s="195">
        <f t="shared" si="1"/>
        <v>9058127429.0599995</v>
      </c>
    </row>
    <row r="15" spans="2:17">
      <c r="B15" s="194" t="s">
        <v>120</v>
      </c>
      <c r="C15" s="195">
        <v>350982937.16999996</v>
      </c>
      <c r="D15" s="196">
        <v>340222772.19999373</v>
      </c>
      <c r="E15" s="195">
        <v>34292218.580011606</v>
      </c>
      <c r="F15" s="195">
        <v>420152512</v>
      </c>
      <c r="G15" s="195">
        <v>1.1500029563903809</v>
      </c>
      <c r="H15" s="195">
        <f t="shared" si="1"/>
        <v>1145650441.1000082</v>
      </c>
    </row>
    <row r="16" spans="2:17">
      <c r="B16" s="194" t="s">
        <v>64</v>
      </c>
      <c r="C16" s="195">
        <v>258449807.08999997</v>
      </c>
      <c r="D16" s="195">
        <v>8527197.8300000001</v>
      </c>
      <c r="E16" s="195"/>
      <c r="F16" s="195">
        <v>43281711</v>
      </c>
      <c r="G16" s="195"/>
      <c r="H16" s="195">
        <f t="shared" si="1"/>
        <v>310258715.91999996</v>
      </c>
    </row>
    <row r="17" spans="2:13">
      <c r="B17" s="194" t="s">
        <v>65</v>
      </c>
      <c r="C17" s="195">
        <v>8690451776.8500004</v>
      </c>
      <c r="D17" s="195">
        <v>2354715.9700000007</v>
      </c>
      <c r="E17" s="195">
        <v>4343257.41</v>
      </c>
      <c r="F17" s="195">
        <v>4826464</v>
      </c>
      <c r="G17" s="195">
        <v>47549901303.470001</v>
      </c>
      <c r="H17" s="195">
        <f t="shared" si="1"/>
        <v>56251877517.699997</v>
      </c>
    </row>
    <row r="18" spans="2:13">
      <c r="B18" s="192" t="s">
        <v>66</v>
      </c>
      <c r="C18" s="193">
        <f t="shared" ref="C18:H18" si="2">SUM(C19:C21)</f>
        <v>2807252702.6300011</v>
      </c>
      <c r="D18" s="193">
        <f t="shared" si="2"/>
        <v>548831223.81999922</v>
      </c>
      <c r="E18" s="193">
        <f t="shared" si="2"/>
        <v>0</v>
      </c>
      <c r="F18" s="193">
        <f t="shared" si="2"/>
        <v>429425542</v>
      </c>
      <c r="G18" s="193">
        <f t="shared" si="2"/>
        <v>106400039.28999621</v>
      </c>
      <c r="H18" s="193">
        <f t="shared" si="2"/>
        <v>3891909507.7399964</v>
      </c>
    </row>
    <row r="19" spans="2:13">
      <c r="B19" s="194" t="s">
        <v>67</v>
      </c>
      <c r="C19" s="195">
        <v>21352092.879999999</v>
      </c>
      <c r="D19" s="195"/>
      <c r="E19" s="195">
        <v>0</v>
      </c>
      <c r="F19" s="195">
        <v>31101398</v>
      </c>
      <c r="G19" s="195">
        <v>192413</v>
      </c>
      <c r="H19" s="195">
        <f>+C19+D19+E19+F19+G19</f>
        <v>52645903.879999995</v>
      </c>
    </row>
    <row r="20" spans="2:13">
      <c r="B20" s="194" t="s">
        <v>68</v>
      </c>
      <c r="C20" s="195">
        <v>2617150602.4100008</v>
      </c>
      <c r="D20" s="195">
        <v>548831223.81999922</v>
      </c>
      <c r="E20" s="195">
        <v>0</v>
      </c>
      <c r="F20" s="195">
        <v>396247424</v>
      </c>
      <c r="G20" s="195">
        <v>106207626.28999621</v>
      </c>
      <c r="H20" s="195">
        <f>+C20+D20+E20+F20+G20</f>
        <v>3668436876.5199962</v>
      </c>
      <c r="M20" t="s">
        <v>226</v>
      </c>
    </row>
    <row r="21" spans="2:13" ht="30">
      <c r="B21" s="194" t="s">
        <v>69</v>
      </c>
      <c r="C21" s="195">
        <v>168750007.34</v>
      </c>
      <c r="D21" s="195"/>
      <c r="E21" s="195">
        <v>0</v>
      </c>
      <c r="F21" s="195">
        <v>2076720</v>
      </c>
      <c r="G21" s="195"/>
      <c r="H21" s="195">
        <f>+C21+D21+E21+F21+G21</f>
        <v>170826727.34</v>
      </c>
    </row>
    <row r="22" spans="2:13">
      <c r="B22" s="197" t="s">
        <v>15</v>
      </c>
      <c r="C22" s="198">
        <f t="shared" ref="C22:H22" si="3">+C18+C10</f>
        <v>604098750296.60278</v>
      </c>
      <c r="D22" s="198">
        <f t="shared" si="3"/>
        <v>8114117972.3199863</v>
      </c>
      <c r="E22" s="198">
        <f t="shared" si="3"/>
        <v>379244195.94001162</v>
      </c>
      <c r="F22" s="198">
        <f t="shared" si="3"/>
        <v>5276347179</v>
      </c>
      <c r="G22" s="198">
        <f t="shared" si="3"/>
        <v>66329254101.210007</v>
      </c>
      <c r="H22" s="198">
        <f t="shared" si="3"/>
        <v>684197713745.07275</v>
      </c>
    </row>
    <row r="23" spans="2:13">
      <c r="B23" s="316" t="s">
        <v>45</v>
      </c>
      <c r="C23" s="316"/>
      <c r="D23" s="316"/>
      <c r="E23" s="316"/>
      <c r="F23" s="316"/>
      <c r="G23" s="316"/>
      <c r="H23" s="316"/>
    </row>
    <row r="25" spans="2:13" s="19" customFormat="1"/>
    <row r="26" spans="2:13" s="19" customFormat="1"/>
  </sheetData>
  <mergeCells count="9">
    <mergeCell ref="K5:Q7"/>
    <mergeCell ref="B23:H23"/>
    <mergeCell ref="B1:H1"/>
    <mergeCell ref="B2:H2"/>
    <mergeCell ref="B3:H3"/>
    <mergeCell ref="B5:H5"/>
    <mergeCell ref="B6:H6"/>
    <mergeCell ref="B7:H7"/>
    <mergeCell ref="B8:H8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1. Panorama Macroeconómico</vt:lpstr>
      <vt:lpstr>Panorama Macroeconómico </vt:lpstr>
      <vt:lpstr>CAIF Presp. Agregado</vt:lpstr>
      <vt:lpstr>Cobertura Institucional</vt:lpstr>
      <vt:lpstr>2. Cobertura Institucional</vt:lpstr>
      <vt:lpstr>3. CAIF Ejecución Agregado</vt:lpstr>
      <vt:lpstr>4. Matriz Trans. Ejecu. Conso.</vt:lpstr>
      <vt:lpstr>5. Matriz Trans. Form.Cons.</vt:lpstr>
      <vt:lpstr>6. Ejecu. Consolidado Ingresos</vt:lpstr>
      <vt:lpstr>7. Form. Consolidado Ingreso</vt:lpstr>
      <vt:lpstr>8. Ejec. Consolidado Gastos</vt:lpstr>
      <vt:lpstr>9. Form. Consolidado Gastos</vt:lpstr>
      <vt:lpstr>10. CAIF Ejec. Consolidada</vt:lpstr>
      <vt:lpstr>11. CAIF Form. Consolidada </vt:lpstr>
      <vt:lpstr>Graficos</vt:lpstr>
      <vt:lpstr>12. Ejec. Consolidado Funcional</vt:lpstr>
      <vt:lpstr>13. Form. Consolidado Funciona </vt:lpstr>
      <vt:lpstr>14. Demanda Agregada</vt:lpstr>
      <vt:lpstr>15. Remuneraciones</vt:lpstr>
      <vt:lpstr>16. Sueldos Promedio </vt:lpstr>
      <vt:lpstr>17. Proyectos de Inversión</vt:lpstr>
      <vt:lpstr>Anexo 1 Matriz Trans.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A. Castillo Cabral</dc:creator>
  <cp:lastModifiedBy>Katherine M. Peguero Fermín</cp:lastModifiedBy>
  <cp:lastPrinted>2018-12-19T13:09:06Z</cp:lastPrinted>
  <dcterms:created xsi:type="dcterms:W3CDTF">2017-04-28T18:30:36Z</dcterms:created>
  <dcterms:modified xsi:type="dcterms:W3CDTF">2019-08-13T13:04:45Z</dcterms:modified>
</cp:coreProperties>
</file>