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Dpto. EEPE\Informes\Informes trimestrales\2020\Informe Avance\"/>
    </mc:Choice>
  </mc:AlternateContent>
  <bookViews>
    <workbookView xWindow="0" yWindow="0" windowWidth="28800" windowHeight="12435" tabRatio="1000" firstSheet="13" activeTab="23"/>
  </bookViews>
  <sheets>
    <sheet name="Cuadro 1" sheetId="17" r:id="rId1"/>
    <sheet name="Gráfico 1" sheetId="1" r:id="rId2"/>
    <sheet name="Gráfico 2" sheetId="2" r:id="rId3"/>
    <sheet name="Cuadro 2" sheetId="3" r:id="rId4"/>
    <sheet name="Cuadro 3" sheetId="4" r:id="rId5"/>
    <sheet name="Gráfico 3" sheetId="5" r:id="rId6"/>
    <sheet name="Cuadro 4" sheetId="6" r:id="rId7"/>
    <sheet name="Cuadro 5" sheetId="7" r:id="rId8"/>
    <sheet name="Cuadro 6" sheetId="8" r:id="rId9"/>
    <sheet name="Cuadro 7" sheetId="9" r:id="rId10"/>
    <sheet name="Cuadro 8" sheetId="10" r:id="rId11"/>
    <sheet name="Gráfico 4" sheetId="11" r:id="rId12"/>
    <sheet name="Gráfico 5" sheetId="12" r:id="rId13"/>
    <sheet name="Cuadro 9" sheetId="13" r:id="rId14"/>
    <sheet name="Cuadro 10" sheetId="14" r:id="rId15"/>
    <sheet name="Cuadro 11" sheetId="15" r:id="rId16"/>
    <sheet name="Gráfico 6" sheetId="16" r:id="rId17"/>
    <sheet name="Cuadro 12 " sheetId="18" r:id="rId18"/>
    <sheet name="Cuadro 13" sheetId="20" r:id="rId19"/>
    <sheet name="Cuadro 14" sheetId="19" r:id="rId20"/>
    <sheet name="Cuadro 15" sheetId="21" r:id="rId21"/>
    <sheet name="Cuadro 16" sheetId="22" r:id="rId22"/>
    <sheet name="Cuadros 17, 18 y 19" sheetId="29" r:id="rId23"/>
    <sheet name="Cuadro 20" sheetId="23" r:id="rId24"/>
    <sheet name="Cuadro 21" sheetId="34" r:id="rId25"/>
    <sheet name="Gráfico 7" sheetId="25" r:id="rId26"/>
    <sheet name="Cuadro 22" sheetId="26" r:id="rId27"/>
    <sheet name="Cuadro 23" sheetId="27" r:id="rId28"/>
    <sheet name="Cuadro 24" sheetId="28" r:id="rId29"/>
    <sheet name="Cuadro 25" sheetId="35" r:id="rId30"/>
    <sheet name="Cuadro 26" sheetId="36" r:id="rId31"/>
    <sheet name="Cuadro 27" sheetId="37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</externalReferences>
  <definedNames>
    <definedName name="\0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>#REF!</definedName>
    <definedName name="_______FAL6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AUS1">#REF!</definedName>
    <definedName name="______DEG1">#REF!</definedName>
    <definedName name="______DKR1">#REF!</definedName>
    <definedName name="______ECU1">#REF!</definedName>
    <definedName name="______ESC1">#REF!</definedName>
    <definedName name="______FAL2">#REF!</definedName>
    <definedName name="______FAL3">#REF!</definedName>
    <definedName name="______FAL4">#REF!</definedName>
    <definedName name="______FAL5">#REF!</definedName>
    <definedName name="______FAL6">#REF!</definedName>
    <definedName name="______FAL7">#REF!</definedName>
    <definedName name="______FMK1">#REF!</definedName>
    <definedName name="______IKR1">#REF!</definedName>
    <definedName name="______IRP1">#REF!</definedName>
    <definedName name="______LIT1">#REF!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>#REF!</definedName>
    <definedName name="______SRT11" hidden="1">{"Minpmon",#N/A,FALSE,"Monthinput"}</definedName>
    <definedName name="_____AUS1">#REF!</definedName>
    <definedName name="_____DEG1">#REF!</definedName>
    <definedName name="_____DKR1">#REF!</definedName>
    <definedName name="_____ECU1">#REF!</definedName>
    <definedName name="_____ESC1">#REF!</definedName>
    <definedName name="_____FAL2">#REF!</definedName>
    <definedName name="_____FAL3">#REF!</definedName>
    <definedName name="_____FAL4">#REF!</definedName>
    <definedName name="_____FAL5">#REF!</definedName>
    <definedName name="_____FAL6">#REF!</definedName>
    <definedName name="_____FAL7">#REF!</definedName>
    <definedName name="_____FMK1">#REF!</definedName>
    <definedName name="_____IKR1">#REF!</definedName>
    <definedName name="_____IRP1">#REF!</definedName>
    <definedName name="_____LIT1">#REF!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>#REF!</definedName>
    <definedName name="_____SRT11" hidden="1">{"Minpmon",#N/A,FALSE,"Monthinput"}</definedName>
    <definedName name="_____TOT58">[1]GROWTH!#REF!</definedName>
    <definedName name="____AUS1">#REF!</definedName>
    <definedName name="____DEG1">#REF!</definedName>
    <definedName name="____DKR1">#REF!</definedName>
    <definedName name="____ECU1">#REF!</definedName>
    <definedName name="____ESC1">#REF!</definedName>
    <definedName name="____FAL2">#REF!</definedName>
    <definedName name="____FAL3">#REF!</definedName>
    <definedName name="____FAL4">#REF!</definedName>
    <definedName name="____FAL5">#REF!</definedName>
    <definedName name="____FAL6">#REF!</definedName>
    <definedName name="____FAL7">#REF!</definedName>
    <definedName name="____FMK1">#REF!</definedName>
    <definedName name="____IKR1">#REF!</definedName>
    <definedName name="____IRP1">#REF!</definedName>
    <definedName name="____LIT1">#REF!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>#REF!</definedName>
    <definedName name="____SRT11" hidden="1">{"Minpmon",#N/A,FALSE,"Monthinput"}</definedName>
    <definedName name="____TOT58">[1]GROWTH!#REF!</definedName>
    <definedName name="___AUS1">#REF!</definedName>
    <definedName name="___DEG1">#REF!</definedName>
    <definedName name="___DKR1">#REF!</definedName>
    <definedName name="___ECU1">#REF!</definedName>
    <definedName name="___ESC1">#REF!</definedName>
    <definedName name="___F" hidden="1">'[2]Fax a enviar'!#REF!</definedName>
    <definedName name="___FAL2">#REF!</definedName>
    <definedName name="___FAL3">#REF!</definedName>
    <definedName name="___FAL4">#REF!</definedName>
    <definedName name="___FAL5">#REF!</definedName>
    <definedName name="___FAL6">#REF!</definedName>
    <definedName name="___FAL7">#REF!</definedName>
    <definedName name="___FMK1">#REF!</definedName>
    <definedName name="___IKR1">#REF!</definedName>
    <definedName name="___IRP1">#REF!</definedName>
    <definedName name="___LIT1">#REF!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>#REF!</definedName>
    <definedName name="___SRT11" hidden="1">{"Minpmon",#N/A,FALSE,"Monthinput"}</definedName>
    <definedName name="___TOT58">[1]GROWTH!#REF!</definedName>
    <definedName name="__123Graph_A" hidden="1">[3]C!#REF!</definedName>
    <definedName name="__123Graph_AChart1" hidden="1">[4]IN_Cable!#REF!</definedName>
    <definedName name="__123Graph_AChart2" hidden="1">[4]IN_Cable!#REF!</definedName>
    <definedName name="__123Graph_AChart3" hidden="1">[4]IN_Cable!#REF!</definedName>
    <definedName name="__123Graph_AChart4" hidden="1">[4]IN_Cable!#REF!</definedName>
    <definedName name="__123Graph_AChart5" hidden="1">[4]IN_Cable!#REF!</definedName>
    <definedName name="__123Graph_AChart6" hidden="1">[4]IN_Cable!#REF!</definedName>
    <definedName name="__123Graph_AChart7" hidden="1">[4]IN_Cable!#REF!</definedName>
    <definedName name="__123Graph_ACurrent" hidden="1">[4]IN_Cable!#REF!</definedName>
    <definedName name="__123Graph_ADEBT" hidden="1">#REF!</definedName>
    <definedName name="__123Graph_ADIFFERENTIAL" hidden="1">[5]TAB25b!#REF!</definedName>
    <definedName name="__123Graph_AINTEREST" hidden="1">[5]TAB25b!#REF!</definedName>
    <definedName name="__123Graph_ASPREAD" hidden="1">[5]TAB25b!#REF!</definedName>
    <definedName name="__123Graph_B" hidden="1">[6]FLUJO!$B$7929:$C$7929</definedName>
    <definedName name="__123Graph_BCurrent" hidden="1">[7]G!#REF!</definedName>
    <definedName name="__123Graph_BDEBT" hidden="1">#REF!</definedName>
    <definedName name="__123Graph_BINTEREST" hidden="1">[5]TAB25b!#REF!</definedName>
    <definedName name="__123Graph_C" hidden="1">[6]FLUJO!$B$7936:$C$7936</definedName>
    <definedName name="__123Graph_CCurrent" hidden="1">'[8]Base Original'!#REF!</definedName>
    <definedName name="__123Graph_D" hidden="1">[6]FLUJO!$B$7942:$C$7942</definedName>
    <definedName name="__123Graph_DCurrent" hidden="1">'[8]Base Original'!#REF!</definedName>
    <definedName name="__123Graph_E" hidden="1">[3]C!#REF!</definedName>
    <definedName name="__123Graph_ECurrent" hidden="1">'[8]Base Original'!#REF!</definedName>
    <definedName name="__123Graph_F" hidden="1">[3]C!#REF!</definedName>
    <definedName name="__123Graph_FCurrent" hidden="1">[9]Base!#REF!</definedName>
    <definedName name="__123Graph_X" hidden="1">[6]FLUJO!$B$7906:$C$7906</definedName>
    <definedName name="__123Graph_XDIFFERENTIAL" hidden="1">[5]TAB25b!#REF!</definedName>
    <definedName name="__123Graph_XSPREAD" hidden="1">[5]TAB25b!#REF!</definedName>
    <definedName name="__AUS1">#REF!</definedName>
    <definedName name="__DEG1">#REF!</definedName>
    <definedName name="__DKR1">#REF!</definedName>
    <definedName name="__ECU1">#REF!</definedName>
    <definedName name="__ESC1">#REF!</definedName>
    <definedName name="__F" hidden="1">'[2]Fax a enviar'!#REF!</definedName>
    <definedName name="__FAL2">#REF!</definedName>
    <definedName name="__FAL3">#REF!</definedName>
    <definedName name="__FAL4">#REF!</definedName>
    <definedName name="__FAL5">#REF!</definedName>
    <definedName name="__FAL6">#REF!</definedName>
    <definedName name="__FAL7">#REF!</definedName>
    <definedName name="__FMK1">#REF!</definedName>
    <definedName name="__IKR1">#REF!</definedName>
    <definedName name="__IRP1">#REF!</definedName>
    <definedName name="__LIT1">#REF!</definedName>
    <definedName name="__MEX1">#REF!</definedName>
    <definedName name="__PTA1">#REF!</definedName>
    <definedName name="__ROS1">#N/A</definedName>
    <definedName name="__ROS2">#N/A</definedName>
    <definedName name="__ROS3">#N/A</definedName>
    <definedName name="__ROS4">#N/A</definedName>
    <definedName name="__SAR1">#REF!</definedName>
    <definedName name="__TOT58">[1]GROWTH!#REF!</definedName>
    <definedName name="_1">#N/A</definedName>
    <definedName name="_11__123Graph_AFIG_D" hidden="1">#REF!</definedName>
    <definedName name="_12__123Graph_AIBA_IBRD" hidden="1">[10]WB!$Q$62:$AK$62</definedName>
    <definedName name="_16__123Graph_ATERMS_OF_TRADE" hidden="1">#REF!</definedName>
    <definedName name="_17__123Graph_AWB_ADJ_PRJ" hidden="1">[10]WB!$Q$255:$AK$255</definedName>
    <definedName name="_19__123Graph_BCPI_ER_LOG" hidden="1">[10]ER!#REF!</definedName>
    <definedName name="_1987">#N/A</definedName>
    <definedName name="_20__123Graph_BIBA_IBRD" hidden="1">[10]WB!#REF!</definedName>
    <definedName name="_24__123Graph_BTERMS_OF_TRADE" hidden="1">#REF!</definedName>
    <definedName name="_25__123Graph_BWB_ADJ_PRJ" hidden="1">[10]WB!$Q$257:$AK$257</definedName>
    <definedName name="_29__123Graph_XFIG_D" hidden="1">#REF!</definedName>
    <definedName name="_3.__No_club_de_París__Después_del_30_Jun_84">#REF!</definedName>
    <definedName name="_30__123Graph_XREALEX_WAGE" hidden="1">[11]PRIVATE!#REF!</definedName>
    <definedName name="_34__123Graph_XTERMS_OF_TRADE" hidden="1">#REF!</definedName>
    <definedName name="_7__123Graph_ACPI_ER_LOG" hidden="1">[10]ER!#REF!</definedName>
    <definedName name="_88">#REF!</definedName>
    <definedName name="_89">#REF!</definedName>
    <definedName name="_aaV110">[12]QNEWLOR!#REF!</definedName>
    <definedName name="_aIV114">[12]QNEWLOR!#REF!</definedName>
    <definedName name="_aIV190">[12]QNEWLOR!#REF!</definedName>
    <definedName name="_AUS1">#REF!</definedName>
    <definedName name="_bla2" hidden="1">#REF!</definedName>
    <definedName name="_bla3" hidden="1">#REF!</definedName>
    <definedName name="_bla4" hidden="1">#REF!</definedName>
    <definedName name="_DEG1">#REF!</definedName>
    <definedName name="_DKR1">#REF!</definedName>
    <definedName name="_DLX1.EMA">#REF!</definedName>
    <definedName name="_DLX1.EMG">#REF!</definedName>
    <definedName name="_DLX10.EMA">#REF!</definedName>
    <definedName name="_DLX11.EMA">#REF!</definedName>
    <definedName name="_DLX12.EMA">#REF!</definedName>
    <definedName name="_DLX13.EMA">#REF!</definedName>
    <definedName name="_DLX14.EMA">#REF!</definedName>
    <definedName name="_DLX16.EMA">#REF!</definedName>
    <definedName name="_DLX2.EMA">#REF!,#REF!</definedName>
    <definedName name="_DLX2.EMG">#REF!</definedName>
    <definedName name="_DLX4.EMA">#REF!</definedName>
    <definedName name="_DLX4.EMG">#REF!</definedName>
    <definedName name="_DLX5.EMA">#REF!</definedName>
    <definedName name="_DLX6.EMA">#REF!</definedName>
    <definedName name="_DLX7.EMA">#REF!</definedName>
    <definedName name="_DLX8.EMA">#REF!</definedName>
    <definedName name="_DLX9.EMA">#REF!</definedName>
    <definedName name="_ECU1">#REF!</definedName>
    <definedName name="_ESC1">#REF!</definedName>
    <definedName name="_EX9596">#REF!</definedName>
    <definedName name="_F" hidden="1">'[13]Fax a enviar'!#REF!</definedName>
    <definedName name="_FAL1">#REF!</definedName>
    <definedName name="_FAL2">#REF!</definedName>
    <definedName name="_FAL3">#REF!</definedName>
    <definedName name="_FAL4">#REF!</definedName>
    <definedName name="_FAL5">#REF!</definedName>
    <definedName name="_FAL6">#REF!</definedName>
    <definedName name="_FAL7">#REF!</definedName>
    <definedName name="_FAL89">#REF!</definedName>
    <definedName name="_Fill" hidden="1">#REF!</definedName>
    <definedName name="_Fill1" hidden="1">#REF!</definedName>
    <definedName name="_xlnm._FilterDatabase" hidden="1">[14]C!$P$428:$T$428</definedName>
    <definedName name="_FMK1">#REF!</definedName>
    <definedName name="_IKR1">#REF!</definedName>
    <definedName name="_IRP1">#REF!</definedName>
    <definedName name="_Key1" hidden="1">#REF!</definedName>
    <definedName name="_Key2" hidden="1">#REF!</definedName>
    <definedName name="_LIT1">#REF!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atMult_A" hidden="1">'[15]Fax a enviar'!#REF!</definedName>
    <definedName name="_MatMult_AxB" hidden="1">'[15]Fax a enviar'!#REF!</definedName>
    <definedName name="_MatMult_B" hidden="1">'[15]Fax a enviar'!#REF!</definedName>
    <definedName name="_MEX1">#REF!</definedName>
    <definedName name="_Order1" hidden="1">255</definedName>
    <definedName name="_Order2" hidden="1">255</definedName>
    <definedName name="_Parse_Out" hidden="1">#REF!</definedName>
    <definedName name="_PTA1">#REF!</definedName>
    <definedName name="_qV196">[12]QNEWLOR!#REF!</definedName>
    <definedName name="_ref2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SAR1">#REF!</definedName>
    <definedName name="_Sort" hidden="1">#REF!</definedName>
    <definedName name="_SRT11" hidden="1">{"Minpmon",#N/A,FALSE,"Monthinput"}</definedName>
    <definedName name="_SRT111" hidden="1">{"Minpmon",#N/A,FALSE,"Monthinput"}</definedName>
    <definedName name="_Toc45720173" localSheetId="29">'Cuadro 25'!$B$4</definedName>
    <definedName name="_TOT58">[1]GROWTH!#REF!</definedName>
    <definedName name="a" hidden="1">[10]WB!#REF!</definedName>
    <definedName name="a\V104">[12]QNEWLOR!#REF!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hidden="1">{"Riqfin97",#N/A,FALSE,"Tran";"Riqfinpro",#N/A,FALSE,"Tran"}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x">#REF!</definedName>
    <definedName name="AccessDatabase" hidden="1">"\\De2kp-42538\BOLETIN\Claga\CLAGA2000.mdb"</definedName>
    <definedName name="Actual">#REF!</definedName>
    <definedName name="ACUMULADO">#N/A</definedName>
    <definedName name="ACwvu.PLA1." hidden="1">'[16]COP FED'!#REF!</definedName>
    <definedName name="ACwvu.PLA2." hidden="1">'[16]COP FED'!$A$1:$N$49</definedName>
    <definedName name="ad" hidden="1">{"Riqfin97",#N/A,FALSE,"Tran";"Riqfinpro",#N/A,FALSE,"Tran"}</definedName>
    <definedName name="adaD">#REF!</definedName>
    <definedName name="adrra">#REF!</definedName>
    <definedName name="adsadrr" hidden="1">#REF!</definedName>
    <definedName name="af" hidden="1">{"Tab1",#N/A,FALSE,"P";"Tab2",#N/A,FALSE,"P"}</definedName>
    <definedName name="aff" hidden="1">{"Tab1",#N/A,FALSE,"P";"Tab2",#N/A,FALSE,"P"}</definedName>
    <definedName name="ag" hidden="1">{"Tab1",#N/A,FALSE,"P";"Tab2",#N/A,FALSE,"P"}</definedName>
    <definedName name="ah" hidden="1">{"Riqfin97",#N/A,FALSE,"Tran";"Riqfinpro",#N/A,FALSE,"Tran"}</definedName>
    <definedName name="aj" hidden="1">{"Riqfin97",#N/A,FALSE,"Tran";"Riqfinpro",#N/A,FALSE,"Tran"}</definedName>
    <definedName name="al" hidden="1">{"Riqfin97",#N/A,FALSE,"Tran";"Riqfinpro",#N/A,FALSE,"Tran"}</definedName>
    <definedName name="alj" hidden="1">{"Riqfin97",#N/A,FALSE,"Tran";"Riqfinpro",#N/A,FALSE,"Tran"}</definedName>
    <definedName name="ALLBIRR">#REF!</definedName>
    <definedName name="AllData">#REF!</definedName>
    <definedName name="ALLSDR">#REF!</definedName>
    <definedName name="alpha">'[17]Int rate table spreads'!$C$7</definedName>
    <definedName name="AMORTI">#REF!</definedName>
    <definedName name="apigraphs">#N/A</definedName>
    <definedName name="appendix">[12]QNEWLOR!$J$3:$AU$7,[12]QNEWLOR!$J$21:$AU$77,[12]QNEWLOR!$J$91:$AU$149</definedName>
    <definedName name="_xlnm.Print_Area">[18]MONTHLY!$A$2:$U$25,[18]MONTHLY!$A$29:$U$66,[18]MONTHLY!$A$71:$U$124,[18]MONTHLY!$A$127:$U$180,[18]MONTHLY!$A$183:$U$238,[18]MONTHLY!$A$244:$U$287,[18]MONTHLY!$A$291:$U$330</definedName>
    <definedName name="as" hidden="1">'[19]Fax a enviar'!#REF!</definedName>
    <definedName name="ASAU">#REF!</definedName>
    <definedName name="ASAU1">#REF!</definedName>
    <definedName name="asd">#REF!</definedName>
    <definedName name="asdrae" hidden="1">#REF!</definedName>
    <definedName name="asdrra">#REF!</definedName>
    <definedName name="ase">#REF!</definedName>
    <definedName name="aser">#REF!</definedName>
    <definedName name="asraa">#REF!</definedName>
    <definedName name="asrraa44">#REF!</definedName>
    <definedName name="ass">#N/A</definedName>
    <definedName name="ASSUM">#REF!</definedName>
    <definedName name="atlantic">[20]nonopec!$D$424:$D$433</definedName>
    <definedName name="AUS">#REF!</definedName>
    <definedName name="Average_Daily_Depreciation">'[21]Inter-Bank'!$G$5</definedName>
    <definedName name="Average_Weekly_Depreciation">'[21]Inter-Bank'!$K$5</definedName>
    <definedName name="Average_Weekly_Inter_Bank_Exchange_Rate">'[21]Inter-Bank'!$H$5</definedName>
    <definedName name="AVISO">#REF!</definedName>
    <definedName name="B">#REF!</definedName>
    <definedName name="bALANCE" hidden="1">{"Minpmon",#N/A,FALSE,"Monthinput"}</definedName>
    <definedName name="BANCOS">#REF!</definedName>
    <definedName name="bb" hidden="1">{"Riqfin97",#N/A,FALSE,"Tran";"Riqfinpro",#N/A,FALSE,"Tran"}</definedName>
    <definedName name="bbbb" hidden="1">{"Minpmon",#N/A,FALSE,"Monthinput"}</definedName>
    <definedName name="bbbbbbbbbbbbb" hidden="1">{"Tab1",#N/A,FALSE,"P";"Tab2",#N/A,FALSE,"P"}</definedName>
    <definedName name="BC">#REF!</definedName>
    <definedName name="bla" hidden="1">#REF!</definedName>
    <definedName name="BLPH1" hidden="1">'[22]Ex rate bloom'!$A$4</definedName>
    <definedName name="BLPH2" hidden="1">'[22]Ex rate bloom'!$D$4</definedName>
    <definedName name="BLPH3" hidden="1">'[22]Ex rate bloom'!$G$4</definedName>
    <definedName name="BLPH4" hidden="1">'[22]Ex rate bloom'!$J$4</definedName>
    <definedName name="BLPH5" hidden="1">'[22]Ex rate bloom'!$M$4</definedName>
    <definedName name="BLPH6" hidden="1">'[22]Ex rate bloom'!$P$4</definedName>
    <definedName name="BLPH7" hidden="1">'[22]Ex rate bloom'!$S$4</definedName>
    <definedName name="BLPH8" hidden="1">'[22]Ex rate bloom'!$V$4</definedName>
    <definedName name="BOG">#REF!</definedName>
    <definedName name="BS">#REF!</definedName>
    <definedName name="BS1A">#REF!</definedName>
    <definedName name="Budget">#REF!</definedName>
    <definedName name="Button_13">"CLAGA2000_Consolidado_2001_List"</definedName>
    <definedName name="C_">#REF!</definedName>
    <definedName name="C_1">OFFSET(#REF!,0,0,COUNT(#REF!),1)</definedName>
    <definedName name="C_2">OFFSET(#REF!,0,0,COUNT(#REF!),1)</definedName>
    <definedName name="CAD">#REF!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vg">OFFSET(#REF!,0,0,COUNT(#REF!),1)</definedName>
    <definedName name="cc" hidden="1">{"Riqfin97",#N/A,FALSE,"Tran";"Riqfinpro",#N/A,FALSE,"Tran"}</definedName>
    <definedName name="ccc">#N/A</definedName>
    <definedName name="ccccc" hidden="1">{"Minpmon",#N/A,FALSE,"Monthinput"}</definedName>
    <definedName name="cccccccccccccc" hidden="1">{"Tab1",#N/A,FALSE,"P";"Tab2",#N/A,FALSE,"P"}</definedName>
    <definedName name="cccm" hidden="1">{"Riqfin97",#N/A,FALSE,"Tran";"Riqfinpro",#N/A,FALSE,"Tran"}</definedName>
    <definedName name="CD">#REF!</definedName>
    <definedName name="CD1A">#REF!</definedName>
    <definedName name="cfdfdf" hidden="1">#REF!</definedName>
    <definedName name="chart">#REF!</definedName>
    <definedName name="CHF">#REF!</definedName>
    <definedName name="CLUB91">#REF!</definedName>
    <definedName name="cmethapp">#REF!,#REF!,#REF!</definedName>
    <definedName name="cmethmain">#REF!</definedName>
    <definedName name="Cmin">OFFSET(#REF!,0,0,COUNT(#REF!),1)</definedName>
    <definedName name="CN">#REF!</definedName>
    <definedName name="CN1A">#REF!</definedName>
    <definedName name="CONS1">[23]MONTHLY!$BP$4:$CA$4</definedName>
    <definedName name="CONS2">[23]MONTHLY!$CB$4:$CM$4</definedName>
    <definedName name="cp" hidden="1">'[24]C Summary'!#REF!</definedName>
    <definedName name="Crng">OFFSET(#REF!,0,0,COUNT(#REF!),1)</definedName>
    <definedName name="Crt">#REF!</definedName>
    <definedName name="CRUDE1">[23]MONTHLY!$B$437:$Z$444</definedName>
    <definedName name="CRUDE2">[23]MONTHLY!$B$451:$Z$458</definedName>
    <definedName name="CRUDE3">[23]MONTHLY!$B$465:$Z$472</definedName>
    <definedName name="CRUZ">#REF!</definedName>
    <definedName name="CRUZ1">#REF!</definedName>
    <definedName name="CS">#REF!</definedName>
    <definedName name="CS1A">#REF!</definedName>
    <definedName name="CurMonth">#REF!</definedName>
    <definedName name="Currency">#REF!</definedName>
    <definedName name="cutoff">'[25]LIC cutoff'!$A$2:$B$15</definedName>
    <definedName name="d" hidden="1">'[26]Fax a enviar'!#REF!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ily_Depreciation">'[21]Inter-Bank'!$E$5</definedName>
    <definedName name="data">#REF!</definedName>
    <definedName name="data1">#REF!</definedName>
    <definedName name="Data2">#REF!</definedName>
    <definedName name="Dataset">#REF!</definedName>
    <definedName name="date">[27]Tablas!$IV$1:$IV$2</definedName>
    <definedName name="dbo">#REF!</definedName>
    <definedName name="dd" hidden="1">{"Riqfin97",#N/A,FALSE,"Tran";"Riqfinpro",#N/A,FALSE,"Tran"}</definedName>
    <definedName name="DDD">#REF!</definedName>
    <definedName name="dddd" hidden="1">{"Minpmon",#N/A,FALSE,"Monthinput"}</definedName>
    <definedName name="dddddd" hidden="1">{"Tab1",#N/A,FALSE,"P";"Tab2",#N/A,FALSE,"P"}</definedName>
    <definedName name="ddgdg" hidden="1">#REF!</definedName>
    <definedName name="Deal_Date">'[21]Inter-Bank'!$B$5</definedName>
    <definedName name="DEBT">#REF!</definedName>
    <definedName name="DEG">#REF!</definedName>
    <definedName name="DEMEURO">#REF!</definedName>
    <definedName name="der" hidden="1">{"Tab1",#N/A,FALSE,"P";"Tab2",#N/A,FALSE,"P"}</definedName>
    <definedName name="dfdf" hidden="1">'[26]Fax a enviar'!#REF!</definedName>
    <definedName name="dfdfsd" hidden="1">'[28]Fax a enviar'!#REF!</definedName>
    <definedName name="dfdgfdfd" hidden="1">'[29]Fax a enviar'!#REF!</definedName>
    <definedName name="dfdgfdsfsd" hidden="1">#REF!</definedName>
    <definedName name="dfgd">#REF!</definedName>
    <definedName name="dgdgd" hidden="1">#REF!</definedName>
    <definedName name="DIVISOR">#REF!</definedName>
    <definedName name="DIVISOR1">#REF!</definedName>
    <definedName name="DKK">#REF!</definedName>
    <definedName name="DKR">#REF!</definedName>
    <definedName name="DM">#REF!</definedName>
    <definedName name="DM1A">#REF!</definedName>
    <definedName name="DR">#REF!</definedName>
    <definedName name="DR1A">#REF!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s" hidden="1">'[26]Fax a enviar'!#REF!</definedName>
    <definedName name="dsds" hidden="1">'[26]Fax a enviar'!#REF!</definedName>
    <definedName name="DY">#REF!</definedName>
    <definedName name="DY1A">#REF!</definedName>
    <definedName name="E">#REF!</definedName>
    <definedName name="ECU">#REF!</definedName>
    <definedName name="edr" hidden="1">{"Riqfin97",#N/A,FALSE,"Tran";"Riqfinpro",#N/A,FALSE,"Tran"}</definedName>
    <definedName name="ee" hidden="1">{"Tab1",#N/A,FALSE,"P";"Tab2",#N/A,FALSE,"P"}</definedName>
    <definedName name="eee" hidden="1">{"Tab1",#N/A,FALSE,"P";"Tab2",#N/A,FALSE,"P"}</definedName>
    <definedName name="eeee" hidden="1">{"Riqfin97",#N/A,FALSE,"Tran";"Riqfinpro",#N/A,FALSE,"Tran"}</definedName>
    <definedName name="eeeee" hidden="1">{"Riqfin97",#N/A,FALSE,"Tran";"Riqfinpro",#N/A,FALSE,"Tran"}</definedName>
    <definedName name="eeeeeee" hidden="1">{"Riqfin97",#N/A,FALSE,"Tran";"Riqfinpro",#N/A,FALSE,"Tran"}</definedName>
    <definedName name="eeeeeeeeee" hidden="1">#REF!</definedName>
    <definedName name="efdgd" hidden="1">'[30]Fax a enviar'!#REF!</definedName>
    <definedName name="efefte" hidden="1">'[30]Fax a enviar'!#REF!</definedName>
    <definedName name="efsdfsd" hidden="1">#REF!</definedName>
    <definedName name="eka">#REF!</definedName>
    <definedName name="erererer" hidden="1">'[26]Fax a enviar'!#REF!</definedName>
    <definedName name="ererwrw" hidden="1">'[29]Fax a enviar'!#REF!</definedName>
    <definedName name="ergferger" hidden="1">{"Main Economic Indicators",#N/A,FALSE,"C"}</definedName>
    <definedName name="ergferger1" hidden="1">{"Main Economic Indicators",#N/A,FALSE,"C"}</definedName>
    <definedName name="ert" hidden="1">{"Minpmon",#N/A,FALSE,"Monthinput"}</definedName>
    <definedName name="ESC">#REF!</definedName>
    <definedName name="ESTRUCTURA" hidden="1">[3]C!#REF!</definedName>
    <definedName name="etewte" hidden="1">#REF!</definedName>
    <definedName name="etwt" hidden="1">#REF!</definedName>
    <definedName name="EURCRUDE87">#REF!</definedName>
    <definedName name="EURCRUDE88">#REF!</definedName>
    <definedName name="EURO">#REF!</definedName>
    <definedName name="EURO1">#REF!</definedName>
    <definedName name="EURPROD87">#REF!</definedName>
    <definedName name="EURPROD88">#REF!</definedName>
    <definedName name="EURTOT87">#REF!</definedName>
    <definedName name="EURTOT88">#REF!</definedName>
    <definedName name="eustocks">#N/A</definedName>
    <definedName name="ex">[31]Sheet1!$N$2:$Q$26</definedName>
    <definedName name="FAL">#REF!</definedName>
    <definedName name="FB">#REF!</definedName>
    <definedName name="FB1A">#REF!</definedName>
    <definedName name="fdfd" hidden="1">'[13]Fax a enviar'!#REF!</definedName>
    <definedName name="fdfdd" hidden="1">#REF!</definedName>
    <definedName name="fdfddf" hidden="1">#REF!</definedName>
    <definedName name="fdfdf" hidden="1">'[13]Fax a enviar'!#REF!</definedName>
    <definedName name="fdfds" hidden="1">#REF!</definedName>
    <definedName name="fdfdsafsdf" hidden="1">'[28]Fax a enviar'!#REF!</definedName>
    <definedName name="fdfdsf" hidden="1">#REF!</definedName>
    <definedName name="fdfsd" hidden="1">'[19]Fax a enviar'!#REF!</definedName>
    <definedName name="fed" hidden="1">{"Riqfin97",#N/A,FALSE,"Tran";"Riqfinpro",#N/A,FALSE,"Tran"}</definedName>
    <definedName name="feere" hidden="1">'[26]Fax a enviar'!#REF!</definedName>
    <definedName name="fef" hidden="1">'[26]Fax a enviar'!#REF!</definedName>
    <definedName name="fer" hidden="1">{"Riqfin97",#N/A,FALSE,"Tran";"Riqfinpro",#N/A,FALSE,"Tran"}</definedName>
    <definedName name="FF">#REF!</definedName>
    <definedName name="FF1A">#REF!</definedName>
    <definedName name="fff" hidden="1">#REF!</definedName>
    <definedName name="ffff" hidden="1">{"Riqfin97",#N/A,FALSE,"Tran";"Riqfinpro",#N/A,FALSE,"Tran"}</definedName>
    <definedName name="fffff">#REF!</definedName>
    <definedName name="ffffff" hidden="1">#REF!</definedName>
    <definedName name="fffffff" hidden="1">{"Minpmon",#N/A,FALSE,"Monthinput"}</definedName>
    <definedName name="fffffffff" hidden="1">'[26]Fax a enviar'!#REF!</definedName>
    <definedName name="ffffffffffffff" hidden="1">{"Riqfin97",#N/A,FALSE,"Tran";"Riqfinpro",#N/A,FALSE,"Tran"}</definedName>
    <definedName name="fgf" hidden="1">{"Riqfin97",#N/A,FALSE,"Tran";"Riqfinpro",#N/A,FALSE,"Tran"}</definedName>
    <definedName name="fgfg" hidden="1">'[29]Fax a enviar'!#REF!</definedName>
    <definedName name="fghfghf" hidden="1">'[32]Fax a enviar'!#REF!</definedName>
    <definedName name="fhnfdj" hidden="1">'[26]Fax a enviar'!#REF!</definedName>
    <definedName name="Fig.1">#REF!</definedName>
    <definedName name="FigTitle">#REF!</definedName>
    <definedName name="Figure.3">#REF!</definedName>
    <definedName name="Financing" hidden="1">{"Tab1",#N/A,FALSE,"P";"Tab2",#N/A,FALSE,"P"}</definedName>
    <definedName name="Fisca">#REF!</definedName>
    <definedName name="FMK">#REF!</definedName>
    <definedName name="FORMATO">#N/A</definedName>
    <definedName name="fre" hidden="1">{"Tab1",#N/A,FALSE,"P";"Tab2",#N/A,FALSE,"P"}</definedName>
    <definedName name="FRFEURO">#REF!</definedName>
    <definedName name="FS">#REF!</definedName>
    <definedName name="FS1A">#REF!</definedName>
    <definedName name="fsdfsd" hidden="1">[33]C!#REF!</definedName>
    <definedName name="fsdsdfa" hidden="1">'[28]Fax a enviar'!#REF!</definedName>
    <definedName name="FT">#REF!</definedName>
    <definedName name="FT1A">#REF!</definedName>
    <definedName name="ftr" hidden="1">{"Riqfin97",#N/A,FALSE,"Tran";"Riqfinpro",#N/A,FALSE,"Tran"}</definedName>
    <definedName name="fty" hidden="1">{"Riqfin97",#N/A,FALSE,"Tran";"Riqfinpro",#N/A,FALSE,"Tran"}</definedName>
    <definedName name="FUENTE">#REF!</definedName>
    <definedName name="fuente1">#REF!</definedName>
    <definedName name="fx">#REF!</definedName>
    <definedName name="G" hidden="1">{"Main Economic Indicators",#N/A,FALSE,"C"}</definedName>
    <definedName name="GBP">#REF!</definedName>
    <definedName name="gdg" hidden="1">'[26]Fax a enviar'!#REF!</definedName>
    <definedName name="gdgd" hidden="1">'[30]Fax a enviar'!#REF!</definedName>
    <definedName name="gdp">[34]GDP_WEO!$A$3:$AB$188</definedName>
    <definedName name="gdpall">[34]GDP!$B$2:$AD$134</definedName>
    <definedName name="gdppc">[34]GDPpc_WEO!$A$3:$AC$188</definedName>
    <definedName name="ggfrfff" hidden="1">#REF!</definedName>
    <definedName name="ggg" hidden="1">{"Riqfin97",#N/A,FALSE,"Tran";"Riqfinpro",#N/A,FALSE,"Tran"}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'[35]J(Priv.Cap)'!#REF!</definedName>
    <definedName name="ggggggggggggggg" hidden="1">#REF!</definedName>
    <definedName name="ght" hidden="1">{"Tab1",#N/A,FALSE,"P";"Tab2",#N/A,FALSE,"P"}</definedName>
    <definedName name="gni">[25]GNIpc!$A$1:$R$235</definedName>
    <definedName name="goafrica">[36]!goafrica</definedName>
    <definedName name="goasia">[36]!goasia</definedName>
    <definedName name="GOB">#REF!</definedName>
    <definedName name="goeeup">[36]!goeeup</definedName>
    <definedName name="goeurope">[36]!goeurope</definedName>
    <definedName name="golamerica">[36]!golamerica</definedName>
    <definedName name="gomeast">[36]!gomeast</definedName>
    <definedName name="gooecd">[36]!gooecd</definedName>
    <definedName name="goopec">[36]!goopec</definedName>
    <definedName name="gosummary">[36]!gosummary</definedName>
    <definedName name="gre" hidden="1">{"Riqfin97",#N/A,FALSE,"Tran";"Riqfinpro",#N/A,FALSE,"Tran"}</definedName>
    <definedName name="grtrt" hidden="1">'[29]Fax a enviar'!#REF!</definedName>
    <definedName name="gtryrtyr" hidden="1">#REF!</definedName>
    <definedName name="GUIL">#REF!</definedName>
    <definedName name="GUIL1">#REF!</definedName>
    <definedName name="gyu" hidden="1">{"Tab1",#N/A,FALSE,"P";"Tab2",#N/A,FALSE,"P"}</definedName>
    <definedName name="h" hidden="1">#REF!</definedName>
    <definedName name="hfhfhf" hidden="1">'[26]Fax a enviar'!#REF!</definedName>
    <definedName name="hhh" hidden="1">'[37]J(Priv.Cap)'!#REF!</definedName>
    <definedName name="HHHH" hidden="1">#REF!</definedName>
    <definedName name="hhhhh" hidden="1">{"Tab1",#N/A,FALSE,"P";"Tab2",#N/A,FALSE,"P"}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est_Inter_Bank_Rate">'[21]Inter-Bank'!$L$5</definedName>
    <definedName name="hio" hidden="1">{"Tab1",#N/A,FALSE,"P";"Tab2",#N/A,FALSE,"P"}</definedName>
    <definedName name="hjkhgkky" hidden="1">'[29]Fax a enviar'!#REF!</definedName>
    <definedName name="hkh" hidden="1">#REF!</definedName>
    <definedName name="hkhkh" hidden="1">#REF!</definedName>
    <definedName name="hola">#REF!</definedName>
    <definedName name="holalalala" hidden="1">'[13]Fax a enviar'!#REF!</definedName>
    <definedName name="holallll">#REF!</definedName>
    <definedName name="hpu" hidden="1">{"Tab1",#N/A,FALSE,"P";"Tab2",#N/A,FALSE,"P"}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hidden="1">{"Tab1",#N/A,FALSE,"P";"Tab2",#N/A,FALSE,"P"}</definedName>
    <definedName name="huo" hidden="1">{"Tab1",#N/A,FALSE,"P";"Tab2",#N/A,FALSE,"P"}</definedName>
    <definedName name="hutyu7" hidden="1">#REF!</definedName>
    <definedName name="HVYNONO1">[20]nonopec!#REF!</definedName>
    <definedName name="HVYNONO2">[20]nonopec!#REF!</definedName>
    <definedName name="HVYNONOPEC">[20]nonopec!#REF!</definedName>
    <definedName name="HVYOECD">[20]nonopec!#REF!</definedName>
    <definedName name="HVYOPEC">[20]nonopec!#REF!</definedName>
    <definedName name="HVYSUMM">[20]nonopec!#REF!</definedName>
    <definedName name="IDB">#REF!</definedName>
    <definedName name="ii" hidden="1">{"Tab1",#N/A,FALSE,"P";"Tab2",#N/A,FALSE,"P"}</definedName>
    <definedName name="iii" hidden="1">{"Riqfin97",#N/A,FALSE,"Tran";"Riqfinpro",#N/A,FALSE,"Tran"}</definedName>
    <definedName name="iiiiiiiiiii" hidden="1">#REF!</definedName>
    <definedName name="iiiiiiiiiiii" hidden="1">'[26]Fax a enviar'!#REF!</definedName>
    <definedName name="iiiiiiiiiiiiiiiii" hidden="1">'[26]Fax a enviar'!#REF!</definedName>
    <definedName name="iiiiiiiiiiiiiiiiiiiiiiiiii" hidden="1">#REF!</definedName>
    <definedName name="iiiooo">#REF!</definedName>
    <definedName name="IKR">#REF!</definedName>
    <definedName name="ilo" hidden="1">{"Riqfin97",#N/A,FALSE,"Tran";"Riqfinpro",#N/A,FALSE,"Tran"}</definedName>
    <definedName name="ilu" hidden="1">{"Riqfin97",#N/A,FALSE,"Tran";"Riqfinpro",#N/A,FALSE,"Tran"}</definedName>
    <definedName name="Importaciones" hidden="1">'[8]Base Original'!#REF!</definedName>
    <definedName name="INIT">#REF!</definedName>
    <definedName name="INTERES">#REF!</definedName>
    <definedName name="INTEREST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LS">#REF!</definedName>
    <definedName name="IRLS1">#REF!</definedName>
    <definedName name="IRP">#REF!</definedName>
    <definedName name="iuf.kugj">#N/A</definedName>
    <definedName name="iyiyiy" hidden="1">#REF!</definedName>
    <definedName name="JA">#REF!</definedName>
    <definedName name="jagu4">#REF!</definedName>
    <definedName name="JAPCRUDE87">#REF!</definedName>
    <definedName name="JAPCRUDE88">#REF!</definedName>
    <definedName name="JAPPROD87">#REF!</definedName>
    <definedName name="JAPPROD88">#REF!</definedName>
    <definedName name="JAPTOT87">#REF!</definedName>
    <definedName name="JAPTOT88">#REF!</definedName>
    <definedName name="JJ">#REF!</definedName>
    <definedName name="jjj" hidden="1">'[19]Fax a enviar'!#REF!</definedName>
    <definedName name="jjjj" hidden="1">{"Tab1",#N/A,FALSE,"P";"Tab2",#N/A,FALSE,"P"}</definedName>
    <definedName name="jjjjjj" hidden="1">'[35]J(Priv.Cap)'!#REF!</definedName>
    <definedName name="JJJJJJJJJJ" hidden="1">#REF!</definedName>
    <definedName name="jjjjjjjjjjjjjjjjjj" hidden="1">{"Tab1",#N/A,FALSE,"P";"Tab2",#N/A,FALSE,"P"}</definedName>
    <definedName name="jkk" hidden="1">{#N/A,#N/A,FALSE,"NFPS GDP"}</definedName>
    <definedName name="JPY">#REF!</definedName>
    <definedName name="jui" hidden="1">{"Riqfin97",#N/A,FALSE,"Tran";"Riqfinpro",#N/A,FALSE,"Tran"}</definedName>
    <definedName name="jutjugyj" hidden="1">#REF!</definedName>
    <definedName name="juy" hidden="1">{"Tab1",#N/A,FALSE,"P";"Tab2",#N/A,FALSE,"P"}</definedName>
    <definedName name="k" hidden="1">{"Main Economic Indicators",#N/A,FALSE,"C"}</definedName>
    <definedName name="KD">#REF!</definedName>
    <definedName name="KD1A">#REF!</definedName>
    <definedName name="khkh" hidden="1">'[26]Fax a enviar'!#REF!</definedName>
    <definedName name="kiiiiii" hidden="1">#REF!</definedName>
    <definedName name="kim">#REF!</definedName>
    <definedName name="kio" hidden="1">{"Tab1",#N/A,FALSE,"P";"Tab2",#N/A,FALSE,"P"}</definedName>
    <definedName name="kiu" hidden="1">{"Riqfin97",#N/A,FALSE,"Tran";"Riqfinpro",#N/A,FALSE,"Tran"}</definedName>
    <definedName name="kjkj" hidden="1">'[26]Fax a enviar'!#REF!</definedName>
    <definedName name="kk" hidden="1">{"Tab1",#N/A,FALSE,"P";"Tab2",#N/A,FALSE,"P"}</definedName>
    <definedName name="kkk" hidden="1">{"Tab1",#N/A,FALSE,"P";"Tab2",#N/A,FALSE,"P"}</definedName>
    <definedName name="kkkk" hidden="1">[38]M!#REF!</definedName>
    <definedName name="kkkkk" hidden="1">'[39]J(Priv.Cap)'!#REF!</definedName>
    <definedName name="kkkkkkkk" hidden="1">{"Riqfin97",#N/A,FALSE,"Tran";"Riqfinpro",#N/A,FALSE,"Tran"}</definedName>
    <definedName name="kykiyu" hidden="1">'[26]Fax a enviar'!#REF!</definedName>
    <definedName name="LastOpenedWorkSheet">#REF!</definedName>
    <definedName name="LastRefreshed">#REF!</definedName>
    <definedName name="LD">#REF!</definedName>
    <definedName name="LD1A">#REF!</definedName>
    <definedName name="LE">#REF!</definedName>
    <definedName name="LE1A">#REF!</definedName>
    <definedName name="LEAP">#REF!</definedName>
    <definedName name="LGTNONO1">[20]nonopec!#REF!</definedName>
    <definedName name="LGTNONO2">[20]nonopec!#REF!</definedName>
    <definedName name="LGTNONOPEC">[20]nonopec!#REF!</definedName>
    <definedName name="LGTNSUMM">[20]nonopec!#REF!</definedName>
    <definedName name="LGTOECD">[20]nonopec!#REF!</definedName>
    <definedName name="LGTOPEC">[20]nonopec!#REF!</definedName>
    <definedName name="LGTPCNT">[20]nonopec!#REF!</definedName>
    <definedName name="LIT">#REF!</definedName>
    <definedName name="LITEURO">#REF!</definedName>
    <definedName name="ll" hidden="1">{"Tab1",#N/A,FALSE,"P";"Tab2",#N/A,FALSE,"P"}</definedName>
    <definedName name="lll" hidden="1">{"Riqfin97",#N/A,FALSE,"Tran";"Riqfinpro",#N/A,FALSE,"Tran"}</definedName>
    <definedName name="llll" hidden="1">[40]M!#REF!</definedName>
    <definedName name="lllll" hidden="1">{"Tab1",#N/A,FALSE,"P";"Tab2",#N/A,FALSE,"P"}</definedName>
    <definedName name="llllll" hidden="1">{"Minpmon",#N/A,FALSE,"Monthinput"}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hidden="1">{"Minpmon",#N/A,FALSE,"Monthinput"}</definedName>
    <definedName name="lloo" hidden="1">#REF!</definedName>
    <definedName name="lodnjkhdnbdv">#REF!</definedName>
    <definedName name="lolololo">#REF!</definedName>
    <definedName name="Lowest_Inter_Bank_Rate">'[21]Inter-Bank'!$M$5</definedName>
    <definedName name="LP">#REF!</definedName>
    <definedName name="LP1A">#REF!</definedName>
    <definedName name="LUXF">#REF!</definedName>
    <definedName name="LUXF1">#REF!</definedName>
    <definedName name="m">#N/A</definedName>
    <definedName name="maintabs">[12]QNEWLOR!$B$3:$G$17,[12]QNEWLOR!$B$20:$G$87,[12]QNEWLOR!$B$90:$G$159</definedName>
    <definedName name="MALAX">#REF!</definedName>
    <definedName name="MALAX1">#REF!</definedName>
    <definedName name="MEDTERM">#REF!</definedName>
    <definedName name="Meses">[41]Codigos!$A$14:$B$25</definedName>
    <definedName name="MEX">#REF!</definedName>
    <definedName name="Million_b_d">[20]nonopec!$D$426:$D$426</definedName>
    <definedName name="mmm" hidden="1">{"Riqfin97",#N/A,FALSE,"Tran";"Riqfinpro",#N/A,FALSE,"Tran"}</definedName>
    <definedName name="mmmm" hidden="1">{"Tab1",#N/A,FALSE,"P";"Tab2",#N/A,FALSE,"P"}</definedName>
    <definedName name="mmmmm" hidden="1">{"Riqfin97",#N/A,FALSE,"Tran";"Riqfinpro",#N/A,FALSE,"Tran"}</definedName>
    <definedName name="mmmmmmmmm" hidden="1">{"Riqfin97",#N/A,FALSE,"Tran";"Riqfinpro",#N/A,FALSE,"Tran"}</definedName>
    <definedName name="Month">#REF!</definedName>
    <definedName name="MonthIndex">#REF!</definedName>
    <definedName name="MONTHS">[23]MONTHLY!$BV$3:$CG$3</definedName>
    <definedName name="moodys">'[42]Credit ratings on 1st issues'!#REF!</definedName>
    <definedName name="msci">[31]Sheet1!$H$2:$K$24</definedName>
    <definedName name="mscid">[31]Sheet1!$B$2:$E$24</definedName>
    <definedName name="mscil">[31]Sheet1!$H$2:$K$24</definedName>
    <definedName name="mte" hidden="1">{"Riqfin97",#N/A,FALSE,"Tran";"Riqfinpro",#N/A,FALSE,"Tran"}</definedName>
    <definedName name="n" hidden="1">{"Minpmon",#N/A,FALSE,"Monthinput"}</definedName>
    <definedName name="new">#REF!</definedName>
    <definedName name="nmBlankCell">'[43]Table 2.1 from DDP program'!$A$2:$A$2</definedName>
    <definedName name="nmBlankRow">[44]EDT!#REF!</definedName>
    <definedName name="nmColumnHeader">[44]EDT!$3:$3</definedName>
    <definedName name="nmData">[44]EDT!$B$4:$AA$36</definedName>
    <definedName name="nmIndexTable">[44]EDT!#REF!</definedName>
    <definedName name="nmReportFooter">'[45]Table 1'!$29:$29</definedName>
    <definedName name="nmReportHeader">#N/A</definedName>
    <definedName name="nmReportNotes">'[45]Table 1'!$30:$30</definedName>
    <definedName name="nmRowHeader">[44]EDT!$A$4:$A$36</definedName>
    <definedName name="nmScale">[44]EDT!#REF!</definedName>
    <definedName name="nn" hidden="1">{"Riqfin97",#N/A,FALSE,"Tran";"Riqfinpro",#N/A,FALSE,"Tran"}</definedName>
    <definedName name="nnn" hidden="1">{"Tab1",#N/A,FALSE,"P";"Tab2",#N/A,FALSE,"P"}</definedName>
    <definedName name="nnnnnnnnnn" hidden="1">{"Minpmon",#N/A,FALSE,"Monthinput"}</definedName>
    <definedName name="nnnnnnnnnnnn" hidden="1">{"Riqfin97",#N/A,FALSE,"Tran";"Riqfinpro",#N/A,FALSE,"Tran"}</definedName>
    <definedName name="Noah">#REF!</definedName>
    <definedName name="NOCLUB">#REF!</definedName>
    <definedName name="NOK">#REF!</definedName>
    <definedName name="NONLEAP">#REF!</definedName>
    <definedName name="NONOECD1">[20]nonopec!$D$29:$AD$70</definedName>
    <definedName name="NONOECD2">[20]nonopec!$D$71:$AD$135</definedName>
    <definedName name="NONOPEC">[20]nonopec!$D$136:$AD$155</definedName>
    <definedName name="NOPEC1">[23]MONTHLY!$BP$19:$CA$19</definedName>
    <definedName name="NOPEC2">[23]MONTHLY!$CB$19:$CM$19</definedName>
    <definedName name="NORM1">[23]MONTHLY!$A$5:$O$117</definedName>
    <definedName name="NORM2">[23]MONTHLY!$A$422:$Z$491</definedName>
    <definedName name="NORM3">[23]MONTHLY!$A$334:$Z$380</definedName>
    <definedName name="NSUMMARY">[20]nonopec!$D$157:$AD$204</definedName>
    <definedName name="OCTUBRE">#N/A</definedName>
    <definedName name="OECD">[20]nonopec!$D$1:$AD$28</definedName>
    <definedName name="oipio" hidden="1">#REF!</definedName>
    <definedName name="oiulfdgdgh" hidden="1">'[26]Fax a enviar'!#REF!</definedName>
    <definedName name="oo" hidden="1">{"Riqfin97",#N/A,FALSE,"Tran";"Riqfinpro",#N/A,FALSE,"Tran"}</definedName>
    <definedName name="ooo" hidden="1">{"Tab1",#N/A,FALSE,"P";"Tab2",#N/A,FALSE,"P"}</definedName>
    <definedName name="OOOKOKOKO">#REF!</definedName>
    <definedName name="oooo" hidden="1">{"Tab1",#N/A,FALSE,"P";"Tab2",#N/A,FALSE,"P"}</definedName>
    <definedName name="ooooooooo" hidden="1">#REF!</definedName>
    <definedName name="OPEC">[20]nonopec!$D$204:$AD$251</definedName>
    <definedName name="OPEC1">[23]MONTHLY!$BP$12:$CA$12</definedName>
    <definedName name="OPEC2">[23]MONTHLY!$CB$12:$CM$12</definedName>
    <definedName name="OPOPOPOPO">#REF!</definedName>
    <definedName name="opu" hidden="1">{"Riqfin97",#N/A,FALSE,"Tran";"Riqfinpro",#N/A,FALSE,"Tran"}</definedName>
    <definedName name="otra" hidden="1">#REF!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p" hidden="1">{"Riqfin97",#N/A,FALSE,"Tran";"Riqfinpro",#N/A,FALSE,"Tran"}</definedName>
    <definedName name="P1_1">OFFSET(#REF!,0,0,COUNT(#REF!),1)</definedName>
    <definedName name="P1_2">OFFSET(#REF!,0,0,COUNT(#REF!),1)</definedName>
    <definedName name="P1avg">OFFSET(#REF!,0,0,COUNT(#REF!),1)</definedName>
    <definedName name="P1min">OFFSET(#REF!,0,0,COUNT(#REF!),1)</definedName>
    <definedName name="P1rng">OFFSET(#REF!,0,0,COUNT(#REF!),1)</definedName>
    <definedName name="P2_1">OFFSET(#REF!,0,0,COUNT(#REF!),1)</definedName>
    <definedName name="P2_2">OFFSET(#REF!,0,0,COUNT(#REF!),1)</definedName>
    <definedName name="P2avg">OFFSET(#REF!,0,0,COUNT(#REF!),1)</definedName>
    <definedName name="P2min">OFFSET(#REF!,0,0,COUNT(#REF!),1)</definedName>
    <definedName name="P2rng">OFFSET(#REF!,0,0,COUNT(#REF!),1)</definedName>
    <definedName name="P3_1">OFFSET(#REF!,0,0,COUNT(#REF!),1)</definedName>
    <definedName name="P3_2">OFFSET(#REF!,0,0,COUNT(#REF!),1)</definedName>
    <definedName name="P3avg">OFFSET(#REF!,0,0,COUNT(#REF!),1)</definedName>
    <definedName name="P3min">OFFSET(#REF!,0,0,COUNT(#REF!),1)</definedName>
    <definedName name="P3rng">OFFSET(#REF!,0,0,COUNT(#REF!),1)</definedName>
    <definedName name="P4_1">OFFSET(#REF!,0,0,COUNT(#REF!),1)</definedName>
    <definedName name="P4_2">OFFSET(#REF!,0,0,COUNT(#REF!),1)</definedName>
    <definedName name="P4avg">OFFSET(#REF!,0,0,COUNT(#REF!),1)</definedName>
    <definedName name="P4min">OFFSET(#REF!,0,0,COUNT(#REF!),1)</definedName>
    <definedName name="P4rng">OFFSET(#REF!,0,0,COUNT(#REF!),1)</definedName>
    <definedName name="P5_1">OFFSET(#REF!,0,0,COUNT(#REF!),1)</definedName>
    <definedName name="P5_2">OFFSET(#REF!,0,0,COUNT(#REF!),1)</definedName>
    <definedName name="P5avg">OFFSET(#REF!,0,0,COUNT(#REF!),1)</definedName>
    <definedName name="P5min">OFFSET(#REF!,0,0,COUNT(#REF!),1)</definedName>
    <definedName name="P5rng">OFFSET(#REF!,0,0,COUNT(#REF!),1)</definedName>
    <definedName name="PCNTLGT">[20]nonopec!#REF!</definedName>
    <definedName name="PII" hidden="1">{"Main Economic Indicators",#N/A,FALSE,"C"}</definedName>
    <definedName name="pit" hidden="1">{"Riqfin97",#N/A,FALSE,"Tran";"Riqfinpro",#N/A,FALSE,"Tran"}</definedName>
    <definedName name="poooooooooo" hidden="1">'[26]Fax a enviar'!#REF!</definedName>
    <definedName name="POTENCIAL">#REF!</definedName>
    <definedName name="PP">#REF!</definedName>
    <definedName name="ppoooooooooo" hidden="1">#REF!</definedName>
    <definedName name="ppp" hidden="1">{"Riqfin97",#N/A,FALSE,"Tran";"Riqfinpro",#N/A,FALSE,"Tran"}</definedName>
    <definedName name="pppppp" hidden="1">{"Riqfin97",#N/A,FALSE,"Tran";"Riqfinpro",#N/A,FALSE,"Tran"}</definedName>
    <definedName name="pppppppppp" hidden="1">#REF!</definedName>
    <definedName name="ppppppppppppp" hidden="1">#REF!</definedName>
    <definedName name="PRES1">[20]nonopec!#REF!</definedName>
    <definedName name="PRES2">[20]nonopec!#REF!</definedName>
    <definedName name="PRES3">[20]nonopec!#REF!</definedName>
    <definedName name="Print_Area_MI">#REF!</definedName>
    <definedName name="Print1">#REF!</definedName>
    <definedName name="Product">#REF!</definedName>
    <definedName name="PTA">#REF!</definedName>
    <definedName name="PTAEURO">#REF!</definedName>
    <definedName name="qawde">#REF!</definedName>
    <definedName name="qaz" hidden="1">{"Tab1",#N/A,FALSE,"P";"Tab2",#N/A,FALSE,"P"}</definedName>
    <definedName name="qer" hidden="1">{"Tab1",#N/A,FALSE,"P";"Tab2",#N/A,FALSE,"P"}</definedName>
    <definedName name="qq" hidden="1">'[37]J(Priv.Cap)'!#REF!</definedName>
    <definedName name="qqqqq" hidden="1">{"Minpmon",#N/A,FALSE,"Monthinput"}</definedName>
    <definedName name="qqqqqqqqqqqqq" hidden="1">{"Tab1",#N/A,FALSE,"P";"Tab2",#N/A,FALSE,"P"}</definedName>
    <definedName name="qrtdata2">'[46]Authnot Prelim'!#REF!</definedName>
    <definedName name="QtrData">'[46]Authnot Prelim'!#REF!</definedName>
    <definedName name="quality">[20]nonopec!$D$400:$AD$423</definedName>
    <definedName name="qw" hidden="1">{"Riqfin97",#N/A,FALSE,"Tran";"Riqfinpro",#N/A,FALSE,"Tran"}</definedName>
    <definedName name="R_">#REF!</definedName>
    <definedName name="RA">#REF!</definedName>
    <definedName name="raaesrr">#REF!</definedName>
    <definedName name="raas">#REF!</definedName>
    <definedName name="RD">#REF!</definedName>
    <definedName name="RD1A">#REF!</definedName>
    <definedName name="RE">#REF!</definedName>
    <definedName name="REF">#REF!</definedName>
    <definedName name="REGREOUT" hidden="1">#REF!</definedName>
    <definedName name="REGREX" hidden="1">#REF!</definedName>
    <definedName name="REGREY" hidden="1">#REF!</definedName>
    <definedName name="rerer" hidden="1">#REF!</definedName>
    <definedName name="RESUMEN">'[47]Evolución Deuda Ene-jun 2004'!#REF!</definedName>
    <definedName name="RESUMEN2">#REF!</definedName>
    <definedName name="RESUMEN3">#REF!</definedName>
    <definedName name="RESUMEN4">#REF!</definedName>
    <definedName name="RESUMEN5">#REF!</definedName>
    <definedName name="retre" hidden="1">'[26]Fax a enviar'!#REF!</definedName>
    <definedName name="rft" hidden="1">{"Riqfin97",#N/A,FALSE,"Tran";"Riqfinpro",#N/A,FALSE,"Tran"}</definedName>
    <definedName name="rfv" hidden="1">{"Tab1",#N/A,FALSE,"P";"Tab2",#N/A,FALSE,"P"}</definedName>
    <definedName name="rgdfgd" hidden="1">#REF!</definedName>
    <definedName name="rgz\dsf">#N/A</definedName>
    <definedName name="ri" hidden="1">#REF!</definedName>
    <definedName name="ROS">#N/A</definedName>
    <definedName name="RR">#REF!</definedName>
    <definedName name="rrasrra">#REF!</definedName>
    <definedName name="rrr" hidden="1">{"Riqfin97",#N/A,FALSE,"Tran";"Riqfinpro",#N/A,FALSE,"Tran"}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hidden="1">{"Tab1",#N/A,FALSE,"P";"Tab2",#N/A,FALSE,"P"}</definedName>
    <definedName name="rrrrrrr" hidden="1">{"Tab1",#N/A,FALSE,"P";"Tab2",#N/A,FALSE,"P"}</definedName>
    <definedName name="rrrrrrrrrrrrr" hidden="1">{"Tab1",#N/A,FALSE,"P";"Tab2",#N/A,FALSE,"P"}</definedName>
    <definedName name="RS">#REF!</definedName>
    <definedName name="RS1A">#REF!</definedName>
    <definedName name="rt" hidden="1">{"Minpmon",#N/A,FALSE,"Monthinput"}</definedName>
    <definedName name="rte" hidden="1">{"Riqfin97",#N/A,FALSE,"Tran";"Riqfinpro",#N/A,FALSE,"Tran"}</definedName>
    <definedName name="rtre" hidden="1">{"Main Economic Indicators",#N/A,FALSE,"C"}</definedName>
    <definedName name="rtre1" hidden="1">{"Main Economic Indicators",#N/A,FALSE,"C"}</definedName>
    <definedName name="rty" hidden="1">{"Riqfin97",#N/A,FALSE,"Tran";"Riqfinpro",#N/A,FALSE,"Tran"}</definedName>
    <definedName name="RUIZ">#REF!</definedName>
    <definedName name="Rwvu.PLA2." hidden="1">'[16]COP FED'!#REF!</definedName>
    <definedName name="rx" hidden="1">#REF!</definedName>
    <definedName name="s" hidden="1">{"Tab1",#N/A,FALSE,"P";"Tab2",#N/A,FALSE,"P"}</definedName>
    <definedName name="S_">#REF!</definedName>
    <definedName name="S_1A">#REF!</definedName>
    <definedName name="sad" hidden="1">{"Riqfin97",#N/A,FALSE,"Tran";"Riqfinpro",#N/A,FALSE,"Tran"}</definedName>
    <definedName name="SAR">#REF!</definedName>
    <definedName name="Scale">#REF!</definedName>
    <definedName name="ScaleLabel">#REF!</definedName>
    <definedName name="ScaleMultiplier">#REF!</definedName>
    <definedName name="ScaleType">#REF!</definedName>
    <definedName name="SCHILL">#REF!</definedName>
    <definedName name="SCHILL1">#REF!</definedName>
    <definedName name="SCOTT1">#REF!</definedName>
    <definedName name="sd">#REF!</definedName>
    <definedName name="sdfsdfsdfsd" hidden="1">{"Riqfin97",#N/A,FALSE,"Tran";"Riqfinpro",#N/A,FALSE,"Tran"}</definedName>
    <definedName name="sdsd" hidden="1">'[26]Fax a enviar'!#REF!</definedName>
    <definedName name="sdsds" hidden="1">#REF!</definedName>
    <definedName name="SEK">#REF!</definedName>
    <definedName name="ser" hidden="1">{"Riqfin97",#N/A,FALSE,"Tran";"Riqfinpro",#N/A,FALSE,"Tran"}</definedName>
    <definedName name="Sheet1_Chart_2_ChartType" hidden="1">64</definedName>
    <definedName name="SID">#REF!</definedName>
    <definedName name="SING">#REF!</definedName>
    <definedName name="SING1">#REF!</definedName>
    <definedName name="snp">'[42]Credit ratings on 1st issues'!#REF!</definedName>
    <definedName name="SortRange">#REF!</definedName>
    <definedName name="Spread_Between_Highest_and_Lowest_Rates">'[21]Inter-Bank'!$N$5</definedName>
    <definedName name="ssss" hidden="1">{"Riqfin97",#N/A,FALSE,"Tran";"Riqfinpro",#N/A,FALSE,"Tran"}</definedName>
    <definedName name="StartPosition">#REF!</definedName>
    <definedName name="SUPLI">#REF!</definedName>
    <definedName name="SUPLIDORES">#REF!</definedName>
    <definedName name="SUPPLY">[23]MONTHLY!$A$87:$Q$193</definedName>
    <definedName name="SUPPLY2">[23]MONTHLY!$A$422:$Z$477</definedName>
    <definedName name="swe" hidden="1">{"Tab1",#N/A,FALSE,"P";"Tab2",#N/A,FALSE,"P"}</definedName>
    <definedName name="Swvu.PLA1." hidden="1">'[16]COP FED'!#REF!</definedName>
    <definedName name="Swvu.PLA2." hidden="1">'[16]COP FED'!$A$1:$N$49</definedName>
    <definedName name="sxc" hidden="1">{"Riqfin97",#N/A,FALSE,"Tran";"Riqfinpro",#N/A,FALSE,"Tran"}</definedName>
    <definedName name="sxe" hidden="1">{"Riqfin97",#N/A,FALSE,"Tran";"Riqfinpro",#N/A,FALSE,"Tran"}</definedName>
    <definedName name="t" hidden="1">{"Minpmon",#N/A,FALSE,"Monthinput"}</definedName>
    <definedName name="Tabe">#REF!</definedName>
    <definedName name="Table_3.5b">#REF!</definedName>
    <definedName name="table1">#REF!</definedName>
    <definedName name="TASA">#REF!</definedName>
    <definedName name="TASAS">#REF!</definedName>
    <definedName name="tc">#VALUE!</definedName>
    <definedName name="TD">#REF!</definedName>
    <definedName name="TD1A">#REF!</definedName>
    <definedName name="teetwetw" hidden="1">#REF!</definedName>
    <definedName name="terte" hidden="1">#REF!</definedName>
    <definedName name="tete" hidden="1">#REF!</definedName>
    <definedName name="tetetwe" hidden="1">'[29]Fax a enviar'!#REF!</definedName>
    <definedName name="textToday">#REF!</definedName>
    <definedName name="_xlnm.Print_Titles">#REF!</definedName>
    <definedName name="tj" hidden="1">{"Riqfin97",#N/A,FALSE,"Tran";"Riqfinpro",#N/A,FALSE,"Tran"}</definedName>
    <definedName name="tjutju" hidden="1">'[26]Fax a enviar'!#REF!</definedName>
    <definedName name="TOC">#REF!</definedName>
    <definedName name="TOT00">#REF!</definedName>
    <definedName name="TOTAL">#REF!</definedName>
    <definedName name="TransChoice">OFFSET(TransList,0,0,COUNTA(TransList),1)</definedName>
    <definedName name="trert" hidden="1">'[29]Fax a enviar'!#REF!</definedName>
    <definedName name="Trim">[41]Codigos!$A$5:$E$11</definedName>
    <definedName name="trrtr" hidden="1">#REF!</definedName>
    <definedName name="trtert" hidden="1">'[29]Fax a enviar'!#REF!</definedName>
    <definedName name="trtr" hidden="1">'[29]Fax a enviar'!#REF!</definedName>
    <definedName name="tt">#REF!</definedName>
    <definedName name="tta">#REF!</definedName>
    <definedName name="ttaa">#REF!</definedName>
    <definedName name="ttetet" hidden="1">'[29]Fax a enviar'!#REF!</definedName>
    <definedName name="ttt" hidden="1">'[26]Fax a enviar'!#REF!</definedName>
    <definedName name="tttt" hidden="1">{"Tab1",#N/A,FALSE,"P";"Tab2",#N/A,FALSE,"P"}</definedName>
    <definedName name="ttttt" hidden="1">[40]M!#REF!</definedName>
    <definedName name="twetwee" hidden="1">#REF!</definedName>
    <definedName name="ty" hidden="1">{"Riqfin97",#N/A,FALSE,"Tran";"Riqfinpro",#N/A,FALSE,"Tran"}</definedName>
    <definedName name="UAED">#REF!</definedName>
    <definedName name="UAED1">#REF!</definedName>
    <definedName name="UC">#REF!</definedName>
    <definedName name="UC1A">#REF!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nitsLabel">#REF!</definedName>
    <definedName name="US_1">OFFSET(#REF!,0,0,COUNT(#REF!),1)</definedName>
    <definedName name="US_2">OFFSET(#REF!,0,0,COUNT(#REF!),1)</definedName>
    <definedName name="USavg">OFFSET(#REF!,0,0,COUNT(#REF!),1)</definedName>
    <definedName name="USCRUDE87">#REF!</definedName>
    <definedName name="USCRUDE88">#REF!</definedName>
    <definedName name="USDIST87">#REF!</definedName>
    <definedName name="USDIST88">#REF!</definedName>
    <definedName name="USMG87">#REF!</definedName>
    <definedName name="USMG88">#REF!</definedName>
    <definedName name="USmin">OFFSET(#REF!,0,0,COUNT(#REF!),1)</definedName>
    <definedName name="USPROD87">#REF!</definedName>
    <definedName name="USPROD88">#REF!</definedName>
    <definedName name="USRFO87">#REF!</definedName>
    <definedName name="USRFO88">#REF!</definedName>
    <definedName name="USrng">OFFSET(#REF!,0,0,COUNT(#REF!),1)</definedName>
    <definedName name="USSR">#REF!</definedName>
    <definedName name="USTOT87">#REF!</definedName>
    <definedName name="USTOT88">#REF!</definedName>
    <definedName name="uu" hidden="1">{"Riqfin97",#N/A,FALSE,"Tran";"Riqfinpro",#N/A,FALSE,"Tran"}</definedName>
    <definedName name="uuu" hidden="1">{"Riqfin97",#N/A,FALSE,"Tran";"Riqfinpro",#N/A,FALSE,"Tran"}</definedName>
    <definedName name="uuuuuu" hidden="1">{"Riqfin97",#N/A,FALSE,"Tran";"Riqfinpro",#N/A,FALSE,"Tran"}</definedName>
    <definedName name="VALID_FORMATS">#REF!</definedName>
    <definedName name="VENEZU">#REF!</definedName>
    <definedName name="vv" hidden="1">{"Tab1",#N/A,FALSE,"P";"Tab2",#N/A,FALSE,"P"}</definedName>
    <definedName name="vvv" hidden="1">{"Tab1",#N/A,FALSE,"P";"Tab2",#N/A,FALSE,"P"}</definedName>
    <definedName name="vvvv" hidden="1">{"Minpmon",#N/A,FALSE,"Monthinput"}</definedName>
    <definedName name="vvvvvvvvvvvv" hidden="1">{"Riqfin97",#N/A,FALSE,"Tran";"Riqfinpro",#N/A,FALSE,"Tran"}</definedName>
    <definedName name="vvvvvvvvvvvvv" hidden="1">{"Tab1",#N/A,FALSE,"P";"Tab2",#N/A,FALSE,"P"}</definedName>
    <definedName name="w" hidden="1">{"Minpmon",#N/A,FALSE,"Monthinput"}</definedName>
    <definedName name="Weekly_Depreciation">'[21]Inter-Bank'!$I$5</definedName>
    <definedName name="Weighted_Average_Inter_Bank_Exchange_Rate">'[21]Inter-Bank'!$C$5</definedName>
    <definedName name="wer" hidden="1">{"Riqfin97",#N/A,FALSE,"Tran";"Riqfinpro",#N/A,FALSE,"Tran"}</definedName>
    <definedName name="wrn" hidden="1">{"Main Economic Indicators",#N/A,FALSE,"C"}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hidden="1">{"annual-cbr",#N/A,FALSE,"CENTBANK";"annual(banks)",#N/A,FALSE,"COMBANKS"}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hidden="1">{#N/A,#N/A,FALSE,"CelPIB"}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hidden="1">{#N/A,#N/A,FALSE,"NFPS GDP"}</definedName>
    <definedName name="wrn.EntpsPIB." hidden="1">{#N/A,#N/A,FALSE,"EntpsPIB"}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hidden="1">{"Main Economic Indicators",#N/A,FALSE,"C"}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thsheet." hidden="1">{"Minpmon",#N/A,FALSE,"Monthinput"}</definedName>
    <definedName name="wrn.NFPS._.GDP." hidden="1">{#N/A,#N/A,FALSE,"NFPS GDP"}</definedName>
    <definedName name="wrn.original." hidden="1">{"Original",#N/A,FALSE,"CENTBANK";"Original",#N/A,FALSE,"COMBANKS"}</definedName>
    <definedName name="wrn.Program." hidden="1">{"Tab1",#N/A,FALSE,"P";"Tab2",#N/A,FALSE,"P"}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hidden="1">{#N/A,#N/A,FALSE,"RestGGPIB"}</definedName>
    <definedName name="wrn.Riqfin." hidden="1">{"Riqfin97",#N/A,FALSE,"Tran";"Riqfinpro",#N/A,FALSE,"Tran"}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hidden="1">{#N/A,#N/A,FALSE,"SSPIB"}</definedName>
    <definedName name="wrn.Staff._.Report._.Tables." hidden="1">{#N/A,#N/A,FALSE,"SR1";#N/A,#N/A,FALSE,"SR2";#N/A,#N/A,FALSE,"SR3";#N/A,#N/A,FALSE,"SR4"}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tewt" hidden="1">#REF!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[40]M!#REF!</definedName>
    <definedName name="www" hidden="1">{"Riqfin97",#N/A,FALSE,"Tran";"Riqfinpro",#N/A,FALSE,"Tran"}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[48]M!#REF!</definedName>
    <definedName name="wwwww" hidden="1">{"Minpmon",#N/A,FALSE,"Monthinput"}</definedName>
    <definedName name="wwwwwww" hidden="1">{"Riqfin97",#N/A,FALSE,"Tran";"Riqfinpro",#N/A,FALSE,"Tran"}</definedName>
    <definedName name="wwwwwwww" hidden="1">{"Tab1",#N/A,FALSE,"P";"Tab2",#N/A,FALSE,"P"}</definedName>
    <definedName name="Xaxis">#REF!</definedName>
    <definedName name="xx" hidden="1">{"Riqfin97",#N/A,FALSE,"Tran";"Riqfinpro",#N/A,FALSE,"Tran"}</definedName>
    <definedName name="xxx">[34]GDP_WEO!$A$3:$AB$188</definedName>
    <definedName name="xxxx" hidden="1">{"Riqfin97",#N/A,FALSE,"Tran";"Riqfinpro",#N/A,FALSE,"Tran"}</definedName>
    <definedName name="xxxxxxxxxxxxxx" hidden="1">{"Riqfin97",#N/A,FALSE,"Tran";"Riqfinpro",#N/A,FALSE,"Tran"}</definedName>
    <definedName name="y" hidden="1">#REF!</definedName>
    <definedName name="ytyry" hidden="1">'[19]Fax a enviar'!#REF!</definedName>
    <definedName name="ytytryry" hidden="1">#REF!</definedName>
    <definedName name="ytyty" hidden="1">'[13]Fax a enviar'!#REF!</definedName>
    <definedName name="ytytyt" hidden="1">'[13]Fax a enviar'!#REF!</definedName>
    <definedName name="yu" hidden="1">{"Tab1",#N/A,FALSE,"P";"Tab2",#N/A,FALSE,"P"}</definedName>
    <definedName name="yucvvjkjo09" hidden="1">'[28]Fax a enviar'!#REF!</definedName>
    <definedName name="YY">#REF!</definedName>
    <definedName name="YY1A">#REF!</definedName>
    <definedName name="yytutyu" hidden="1">#REF!</definedName>
    <definedName name="yyy" hidden="1">{"Tab1",#N/A,FALSE,"P";"Tab2",#N/A,FALSE,"P"}</definedName>
    <definedName name="yyyyyy" hidden="1">'[29]Fax a enviar'!#REF!</definedName>
    <definedName name="yyyyyyyy" hidden="1">'[29]Fax a enviar'!#REF!</definedName>
    <definedName name="yyyyyyyyyyy" hidden="1">'[15]Fax a enviar'!#REF!</definedName>
    <definedName name="yyyyyyyyyyyyy" hidden="1">#REF!</definedName>
    <definedName name="yyyyyyyyyyyyyyy" hidden="1">'[29]Fax a enviar'!#REF!</definedName>
    <definedName name="yyyyyyyyyyyyyyyyyyyyyy" hidden="1">'[26]Fax a enviar'!#REF!</definedName>
    <definedName name="Z">#REF!</definedName>
    <definedName name="Z_1A8C061B_2301_11D3_BFD1_000039E37209_.wvu.Cols" hidden="1">#REF!,#REF!,#REF!</definedName>
    <definedName name="Z_1A8C061B_2301_11D3_BFD1_000039E37209_.wvu.Rows" hidden="1">#REF!,#REF!,#REF!</definedName>
    <definedName name="Z_1A8C061C_2301_11D3_BFD1_000039E37209_.wvu.Cols" hidden="1">#REF!,#REF!,#REF!</definedName>
    <definedName name="Z_1A8C061C_2301_11D3_BFD1_000039E37209_.wvu.Rows" hidden="1">#REF!,#REF!,#REF!</definedName>
    <definedName name="Z_1A8C061E_2301_11D3_BFD1_000039E37209_.wvu.Cols" hidden="1">#REF!,#REF!,#REF!</definedName>
    <definedName name="Z_1A8C061E_2301_11D3_BFD1_000039E37209_.wvu.Rows" hidden="1">#REF!,#REF!,#REF!</definedName>
    <definedName name="Z_1A8C061F_2301_11D3_BFD1_000039E37209_.wvu.Cols" hidden="1">#REF!,#REF!,#REF!</definedName>
    <definedName name="Z_1A8C061F_2301_11D3_BFD1_000039E37209_.wvu.Rows" hidden="1">#REF!,#REF!,#REF!</definedName>
    <definedName name="Z_95224721_0485_11D4_BFD1_00508B5F4DA4_.wvu.Cols" hidden="1">#REF!</definedName>
    <definedName name="zc" hidden="1">{"Riqfin97",#N/A,FALSE,"Tran";"Riqfinpro",#N/A,FALSE,"Tran"}</definedName>
    <definedName name="zio" hidden="1">{"Tab1",#N/A,FALSE,"P";"Tab2",#N/A,FALSE,"P"}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>#REF!</definedName>
    <definedName name="zv" hidden="1">{"Tab1",#N/A,FALSE,"P";"Tab2",#N/A,FALSE,"P"}</definedName>
    <definedName name="zx" hidden="1">{"Tab1",#N/A,FALSE,"P";"Tab2",#N/A,FALSE,"P"}</definedName>
    <definedName name="zz" hidden="1">{"Tab1",#N/A,FALSE,"P";"Tab2",#N/A,FALSE,"P"}</definedName>
    <definedName name="zzrr">#REF!</definedName>
    <definedName name="zzzz" hidden="1">{"Tab1",#N/A,FALSE,"P";"Tab2",#N/A,FALSE,"P"}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2" i="29" l="1"/>
  <c r="G52" i="29"/>
  <c r="F52" i="29"/>
  <c r="H50" i="29"/>
  <c r="G50" i="29"/>
  <c r="F50" i="29"/>
  <c r="H18" i="23"/>
  <c r="E32" i="29"/>
  <c r="G32" i="29"/>
  <c r="H32" i="29"/>
  <c r="F32" i="29"/>
  <c r="F30" i="29"/>
  <c r="F31" i="29"/>
  <c r="I10" i="22"/>
  <c r="I11" i="22"/>
  <c r="I12" i="22"/>
  <c r="I13" i="22"/>
  <c r="I15" i="22"/>
  <c r="I16" i="22"/>
  <c r="I17" i="22"/>
  <c r="I18" i="22"/>
  <c r="I19" i="22"/>
  <c r="I20" i="22"/>
  <c r="I21" i="22"/>
  <c r="I22" i="22"/>
  <c r="I23" i="22"/>
  <c r="I25" i="22"/>
  <c r="I26" i="22"/>
  <c r="I28" i="22"/>
  <c r="I29" i="22"/>
  <c r="I30" i="22"/>
  <c r="I31" i="22"/>
  <c r="I32" i="22"/>
  <c r="I34" i="22"/>
  <c r="J28" i="23"/>
  <c r="L25" i="23"/>
  <c r="E10" i="18"/>
  <c r="E9" i="18" s="1"/>
  <c r="D68" i="15" l="1"/>
  <c r="D64" i="15"/>
  <c r="D10" i="15"/>
  <c r="F14" i="14" l="1"/>
  <c r="G14" i="14"/>
  <c r="H14" i="14"/>
  <c r="E12" i="14"/>
  <c r="E14" i="14" s="1"/>
  <c r="F12" i="14"/>
  <c r="G12" i="14"/>
  <c r="H12" i="14"/>
  <c r="D12" i="14"/>
  <c r="D14" i="14" s="1"/>
  <c r="E12" i="23"/>
  <c r="E19" i="23"/>
  <c r="E18" i="23"/>
  <c r="E10" i="29"/>
  <c r="G10" i="29"/>
  <c r="H10" i="29"/>
  <c r="F10" i="29"/>
  <c r="G9" i="29"/>
  <c r="H9" i="29"/>
  <c r="F9" i="29"/>
  <c r="E20" i="23"/>
  <c r="E17" i="23"/>
  <c r="E10" i="23"/>
  <c r="E13" i="23"/>
  <c r="D7" i="36"/>
  <c r="D10" i="36"/>
  <c r="C10" i="36"/>
  <c r="D11" i="35"/>
  <c r="D10" i="35" s="1"/>
  <c r="L6" i="37" l="1"/>
  <c r="G7" i="37"/>
  <c r="H7" i="37"/>
  <c r="I7" i="37"/>
  <c r="J7" i="37"/>
  <c r="L7" i="37"/>
  <c r="G8" i="37"/>
  <c r="H8" i="37"/>
  <c r="I8" i="37"/>
  <c r="J8" i="37"/>
  <c r="G9" i="37"/>
  <c r="H9" i="37"/>
  <c r="I9" i="37"/>
  <c r="J9" i="37"/>
  <c r="G10" i="37"/>
  <c r="H10" i="37"/>
  <c r="I10" i="37"/>
  <c r="J10" i="37"/>
  <c r="G11" i="37"/>
  <c r="H11" i="37"/>
  <c r="I11" i="37"/>
  <c r="J11" i="37"/>
  <c r="G12" i="37"/>
  <c r="H12" i="37"/>
  <c r="I12" i="37"/>
  <c r="J12" i="37"/>
  <c r="G13" i="37"/>
  <c r="H13" i="37"/>
  <c r="I13" i="37"/>
  <c r="J13" i="37"/>
  <c r="G14" i="37"/>
  <c r="H14" i="37"/>
  <c r="I14" i="37"/>
  <c r="J14" i="37"/>
  <c r="I4" i="36"/>
  <c r="I5" i="36"/>
  <c r="C7" i="36"/>
  <c r="E7" i="36" s="1"/>
  <c r="F7" i="36"/>
  <c r="E8" i="36"/>
  <c r="F8" i="36"/>
  <c r="E9" i="36"/>
  <c r="F9" i="36"/>
  <c r="E10" i="36"/>
  <c r="F10" i="36"/>
  <c r="E11" i="36"/>
  <c r="F11" i="36"/>
  <c r="E12" i="36"/>
  <c r="F12" i="36"/>
  <c r="D13" i="36"/>
  <c r="F13" i="36" s="1"/>
  <c r="D14" i="36"/>
  <c r="F14" i="36" s="1"/>
  <c r="K4" i="35"/>
  <c r="C7" i="35"/>
  <c r="D7" i="35"/>
  <c r="E7" i="35" s="1"/>
  <c r="F7" i="35"/>
  <c r="E8" i="35"/>
  <c r="F8" i="35"/>
  <c r="G8" i="35"/>
  <c r="H8" i="35"/>
  <c r="E9" i="35"/>
  <c r="F9" i="35"/>
  <c r="G9" i="35"/>
  <c r="H9" i="35"/>
  <c r="E10" i="35"/>
  <c r="F10" i="35"/>
  <c r="G10" i="35"/>
  <c r="H10" i="35" s="1"/>
  <c r="E11" i="35"/>
  <c r="F11" i="35"/>
  <c r="G11" i="35"/>
  <c r="H11" i="35" s="1"/>
  <c r="E12" i="35"/>
  <c r="F12" i="35"/>
  <c r="G12" i="35"/>
  <c r="H12" i="35"/>
  <c r="C13" i="35"/>
  <c r="F13" i="35"/>
  <c r="C14" i="35"/>
  <c r="F14" i="35"/>
  <c r="C14" i="36" l="1"/>
  <c r="E14" i="36" s="1"/>
  <c r="C13" i="36"/>
  <c r="E13" i="36" s="1"/>
  <c r="D14" i="35"/>
  <c r="E14" i="35" s="1"/>
  <c r="G7" i="35"/>
  <c r="H7" i="35" s="1"/>
  <c r="D13" i="35"/>
  <c r="G13" i="35" s="1"/>
  <c r="H13" i="35" s="1"/>
  <c r="E7" i="34"/>
  <c r="F7" i="34"/>
  <c r="E8" i="34"/>
  <c r="F8" i="34"/>
  <c r="E9" i="34"/>
  <c r="F9" i="34"/>
  <c r="E10" i="34"/>
  <c r="F10" i="34"/>
  <c r="E11" i="34"/>
  <c r="F11" i="34"/>
  <c r="E12" i="34"/>
  <c r="F12" i="34"/>
  <c r="E13" i="34"/>
  <c r="F13" i="34"/>
  <c r="E14" i="34"/>
  <c r="F14" i="34"/>
  <c r="E15" i="34"/>
  <c r="F15" i="34"/>
  <c r="E16" i="34"/>
  <c r="F16" i="34"/>
  <c r="E17" i="34"/>
  <c r="F17" i="34"/>
  <c r="E18" i="34"/>
  <c r="F18" i="34"/>
  <c r="E19" i="34"/>
  <c r="F19" i="34"/>
  <c r="E21" i="34"/>
  <c r="F21" i="34"/>
  <c r="F4" i="27"/>
  <c r="F5" i="27"/>
  <c r="F7" i="27"/>
  <c r="F8" i="27"/>
  <c r="F10" i="27"/>
  <c r="F11" i="27"/>
  <c r="F13" i="27"/>
  <c r="F14" i="27"/>
  <c r="F15" i="27"/>
  <c r="F16" i="27"/>
  <c r="F18" i="27"/>
  <c r="F19" i="27"/>
  <c r="F23" i="27"/>
  <c r="F24" i="27"/>
  <c r="F25" i="27"/>
  <c r="F26" i="27"/>
  <c r="F27" i="27"/>
  <c r="F28" i="27"/>
  <c r="F29" i="27"/>
  <c r="E13" i="35" l="1"/>
  <c r="G14" i="35"/>
  <c r="H14" i="35" s="1"/>
  <c r="D9" i="23"/>
  <c r="F9" i="23"/>
  <c r="G9" i="23"/>
  <c r="H9" i="23"/>
  <c r="J9" i="23" s="1"/>
  <c r="I9" i="23"/>
  <c r="E9" i="23"/>
  <c r="J10" i="23"/>
  <c r="K10" i="23"/>
  <c r="L10" i="23"/>
  <c r="E11" i="23"/>
  <c r="J11" i="23"/>
  <c r="K11" i="23"/>
  <c r="L11" i="23"/>
  <c r="L12" i="23"/>
  <c r="F12" i="23"/>
  <c r="G12" i="23"/>
  <c r="H12" i="23"/>
  <c r="I12" i="23"/>
  <c r="J12" i="23"/>
  <c r="K12" i="23"/>
  <c r="D13" i="23"/>
  <c r="D12" i="23" s="1"/>
  <c r="J13" i="23"/>
  <c r="K13" i="23"/>
  <c r="L13" i="23"/>
  <c r="J14" i="23"/>
  <c r="K14" i="23"/>
  <c r="L14" i="23"/>
  <c r="J15" i="23"/>
  <c r="K15" i="23"/>
  <c r="L15" i="23"/>
  <c r="F17" i="23"/>
  <c r="G17" i="23"/>
  <c r="H17" i="23"/>
  <c r="J17" i="23" s="1"/>
  <c r="I17" i="23"/>
  <c r="K17" i="23"/>
  <c r="D18" i="23"/>
  <c r="L18" i="23"/>
  <c r="F18" i="23"/>
  <c r="G18" i="23"/>
  <c r="I18" i="23"/>
  <c r="J18" i="23"/>
  <c r="K18" i="23"/>
  <c r="D19" i="23"/>
  <c r="L19" i="23"/>
  <c r="F19" i="23"/>
  <c r="G19" i="23"/>
  <c r="H19" i="23"/>
  <c r="K19" i="23" s="1"/>
  <c r="I19" i="23"/>
  <c r="J19" i="23"/>
  <c r="F20" i="23"/>
  <c r="G20" i="23"/>
  <c r="H20" i="23"/>
  <c r="J20" i="23" s="1"/>
  <c r="I20" i="23"/>
  <c r="D22" i="23"/>
  <c r="E22" i="23"/>
  <c r="F22" i="23"/>
  <c r="G22" i="23"/>
  <c r="H22" i="23"/>
  <c r="J22" i="23" s="1"/>
  <c r="I22" i="23"/>
  <c r="K22" i="23"/>
  <c r="L22" i="23"/>
  <c r="J23" i="23"/>
  <c r="K23" i="23"/>
  <c r="L23" i="23"/>
  <c r="J24" i="23"/>
  <c r="K24" i="23"/>
  <c r="L24" i="23"/>
  <c r="D25" i="23"/>
  <c r="D28" i="23" s="1"/>
  <c r="E25" i="23"/>
  <c r="F25" i="23"/>
  <c r="F28" i="23" s="1"/>
  <c r="G25" i="23"/>
  <c r="H25" i="23"/>
  <c r="J25" i="23" s="1"/>
  <c r="I25" i="23"/>
  <c r="J26" i="23"/>
  <c r="K26" i="23"/>
  <c r="L26" i="23"/>
  <c r="J27" i="23"/>
  <c r="K27" i="23"/>
  <c r="L27" i="23"/>
  <c r="G28" i="23"/>
  <c r="I28" i="23"/>
  <c r="D9" i="22"/>
  <c r="E9" i="22"/>
  <c r="F9" i="22"/>
  <c r="G9" i="22"/>
  <c r="I9" i="22" s="1"/>
  <c r="H9" i="22"/>
  <c r="J10" i="22"/>
  <c r="K10" i="22"/>
  <c r="J11" i="22"/>
  <c r="K11" i="22"/>
  <c r="J12" i="22"/>
  <c r="K12" i="22"/>
  <c r="J13" i="22"/>
  <c r="K13" i="22"/>
  <c r="D14" i="22"/>
  <c r="E14" i="22"/>
  <c r="F14" i="22"/>
  <c r="G14" i="22"/>
  <c r="I14" i="22" s="1"/>
  <c r="H14" i="22"/>
  <c r="J15" i="22"/>
  <c r="K15" i="22"/>
  <c r="J16" i="22"/>
  <c r="K16" i="22"/>
  <c r="J17" i="22"/>
  <c r="K17" i="22"/>
  <c r="J18" i="22"/>
  <c r="K18" i="22"/>
  <c r="J19" i="22"/>
  <c r="K19" i="22"/>
  <c r="J20" i="22"/>
  <c r="K20" i="22"/>
  <c r="J21" i="22"/>
  <c r="K21" i="22"/>
  <c r="J22" i="22"/>
  <c r="K22" i="22"/>
  <c r="J23" i="22"/>
  <c r="K23" i="22"/>
  <c r="D24" i="22"/>
  <c r="E24" i="22"/>
  <c r="F24" i="22"/>
  <c r="G24" i="22"/>
  <c r="I24" i="22" s="1"/>
  <c r="H24" i="22"/>
  <c r="J25" i="22"/>
  <c r="K25" i="22"/>
  <c r="J26" i="22"/>
  <c r="K26" i="22"/>
  <c r="D27" i="22"/>
  <c r="E27" i="22"/>
  <c r="F27" i="22"/>
  <c r="G27" i="22"/>
  <c r="H27" i="22"/>
  <c r="J28" i="22"/>
  <c r="K28" i="22"/>
  <c r="J29" i="22"/>
  <c r="K29" i="22"/>
  <c r="J30" i="22"/>
  <c r="K30" i="22"/>
  <c r="J31" i="22"/>
  <c r="K31" i="22"/>
  <c r="J32" i="22"/>
  <c r="K32" i="22"/>
  <c r="D33" i="22"/>
  <c r="E33" i="22"/>
  <c r="F33" i="22"/>
  <c r="G33" i="22"/>
  <c r="H33" i="22"/>
  <c r="J34" i="22"/>
  <c r="K34" i="22"/>
  <c r="C9" i="21"/>
  <c r="D9" i="21"/>
  <c r="E9" i="21"/>
  <c r="F9" i="21"/>
  <c r="G9" i="21"/>
  <c r="H9" i="21"/>
  <c r="M9" i="21" s="1"/>
  <c r="I9" i="21"/>
  <c r="K9" i="21"/>
  <c r="L9" i="21"/>
  <c r="J10" i="21"/>
  <c r="K10" i="21"/>
  <c r="L10" i="21"/>
  <c r="M10" i="21"/>
  <c r="J11" i="21"/>
  <c r="K11" i="21"/>
  <c r="L11" i="21"/>
  <c r="M11" i="21"/>
  <c r="C12" i="21"/>
  <c r="D12" i="21"/>
  <c r="E12" i="21"/>
  <c r="F12" i="21"/>
  <c r="G12" i="21"/>
  <c r="H12" i="21"/>
  <c r="I12" i="21"/>
  <c r="K12" i="21"/>
  <c r="L12" i="21"/>
  <c r="M12" i="21"/>
  <c r="J13" i="21"/>
  <c r="K13" i="21"/>
  <c r="L13" i="21"/>
  <c r="M13" i="21"/>
  <c r="J14" i="21"/>
  <c r="K14" i="21"/>
  <c r="L14" i="21"/>
  <c r="M14" i="21"/>
  <c r="J15" i="21"/>
  <c r="K15" i="21"/>
  <c r="L15" i="21"/>
  <c r="M15" i="21"/>
  <c r="J16" i="21"/>
  <c r="K16" i="21"/>
  <c r="L16" i="21"/>
  <c r="M16" i="21"/>
  <c r="J17" i="21"/>
  <c r="K17" i="21"/>
  <c r="L17" i="21"/>
  <c r="M17" i="21"/>
  <c r="J18" i="21"/>
  <c r="K18" i="21"/>
  <c r="L18" i="21"/>
  <c r="M18" i="21"/>
  <c r="J19" i="21"/>
  <c r="K19" i="21"/>
  <c r="L19" i="21"/>
  <c r="M19" i="21"/>
  <c r="J20" i="21"/>
  <c r="K20" i="21"/>
  <c r="L20" i="21"/>
  <c r="M20" i="21"/>
  <c r="J21" i="21"/>
  <c r="K21" i="21"/>
  <c r="L21" i="21"/>
  <c r="M21" i="21"/>
  <c r="J22" i="21"/>
  <c r="K22" i="21"/>
  <c r="L22" i="21"/>
  <c r="M22" i="21"/>
  <c r="J23" i="21"/>
  <c r="K23" i="21"/>
  <c r="L23" i="21"/>
  <c r="M23" i="21"/>
  <c r="J24" i="21"/>
  <c r="K24" i="21"/>
  <c r="L24" i="21"/>
  <c r="M24" i="21"/>
  <c r="J25" i="21"/>
  <c r="K25" i="21"/>
  <c r="L25" i="21"/>
  <c r="M25" i="21"/>
  <c r="J26" i="21"/>
  <c r="K26" i="21"/>
  <c r="L26" i="21"/>
  <c r="M26" i="21"/>
  <c r="J27" i="21"/>
  <c r="K27" i="21"/>
  <c r="L27" i="21"/>
  <c r="M27" i="21"/>
  <c r="J28" i="21"/>
  <c r="K28" i="21"/>
  <c r="L28" i="21"/>
  <c r="M28" i="21"/>
  <c r="J29" i="21"/>
  <c r="K29" i="21"/>
  <c r="L29" i="21"/>
  <c r="M29" i="21"/>
  <c r="J30" i="21"/>
  <c r="K30" i="21"/>
  <c r="L30" i="21"/>
  <c r="M30" i="21"/>
  <c r="J31" i="21"/>
  <c r="K31" i="21"/>
  <c r="L31" i="21"/>
  <c r="M31" i="21"/>
  <c r="J32" i="21"/>
  <c r="K32" i="21"/>
  <c r="L32" i="21"/>
  <c r="M32" i="21"/>
  <c r="J33" i="21"/>
  <c r="K33" i="21"/>
  <c r="L33" i="21"/>
  <c r="M33" i="21"/>
  <c r="J34" i="21"/>
  <c r="K34" i="21"/>
  <c r="L34" i="21"/>
  <c r="M34" i="21"/>
  <c r="C35" i="21"/>
  <c r="D35" i="21"/>
  <c r="E35" i="21"/>
  <c r="L35" i="21" s="1"/>
  <c r="F35" i="21"/>
  <c r="G35" i="21"/>
  <c r="H35" i="21"/>
  <c r="I35" i="21"/>
  <c r="J35" i="21"/>
  <c r="K35" i="21"/>
  <c r="M35" i="21"/>
  <c r="J36" i="21"/>
  <c r="K36" i="21"/>
  <c r="L36" i="21"/>
  <c r="M36" i="21"/>
  <c r="C37" i="21"/>
  <c r="D37" i="21"/>
  <c r="E37" i="21"/>
  <c r="F37" i="21"/>
  <c r="M37" i="21" s="1"/>
  <c r="G37" i="21"/>
  <c r="H37" i="21"/>
  <c r="I37" i="21"/>
  <c r="J37" i="21"/>
  <c r="K37" i="21"/>
  <c r="L37" i="21"/>
  <c r="J38" i="21"/>
  <c r="K38" i="21"/>
  <c r="L38" i="21"/>
  <c r="M38" i="21"/>
  <c r="J39" i="21"/>
  <c r="K39" i="21"/>
  <c r="L39" i="21"/>
  <c r="M39" i="21"/>
  <c r="J40" i="21"/>
  <c r="K40" i="21"/>
  <c r="L40" i="21"/>
  <c r="M40" i="21"/>
  <c r="J41" i="21"/>
  <c r="K41" i="21"/>
  <c r="L41" i="21"/>
  <c r="M41" i="21"/>
  <c r="J42" i="21"/>
  <c r="K42" i="21"/>
  <c r="L42" i="21"/>
  <c r="M42" i="21"/>
  <c r="C43" i="21"/>
  <c r="D43" i="21"/>
  <c r="E43" i="21"/>
  <c r="L43" i="21" s="1"/>
  <c r="F43" i="21"/>
  <c r="G43" i="21"/>
  <c r="H43" i="21"/>
  <c r="I43" i="21"/>
  <c r="I46" i="21" s="1"/>
  <c r="J43" i="21"/>
  <c r="K43" i="21"/>
  <c r="M43" i="21"/>
  <c r="J44" i="21"/>
  <c r="K44" i="21"/>
  <c r="L44" i="21"/>
  <c r="M44" i="21"/>
  <c r="J45" i="21"/>
  <c r="K45" i="21"/>
  <c r="L45" i="21"/>
  <c r="M45" i="21"/>
  <c r="C46" i="21"/>
  <c r="D46" i="21"/>
  <c r="F46" i="21"/>
  <c r="G46" i="21"/>
  <c r="H46" i="21"/>
  <c r="M46" i="21" s="1"/>
  <c r="D13" i="20"/>
  <c r="E13" i="20"/>
  <c r="D18" i="20"/>
  <c r="E18" i="20"/>
  <c r="D23" i="20"/>
  <c r="E23" i="20"/>
  <c r="D28" i="20"/>
  <c r="E28" i="20"/>
  <c r="D33" i="20"/>
  <c r="E33" i="20"/>
  <c r="D34" i="20"/>
  <c r="E34" i="20"/>
  <c r="G6" i="19"/>
  <c r="G7" i="19"/>
  <c r="G8" i="19"/>
  <c r="G9" i="19"/>
  <c r="G11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6" i="19"/>
  <c r="G27" i="19"/>
  <c r="G28" i="19"/>
  <c r="G29" i="19"/>
  <c r="G30" i="19"/>
  <c r="G32" i="19"/>
  <c r="G33" i="19"/>
  <c r="G34" i="19"/>
  <c r="G35" i="19"/>
  <c r="G36" i="19"/>
  <c r="G37" i="19"/>
  <c r="G38" i="19"/>
  <c r="G39" i="19"/>
  <c r="G41" i="19"/>
  <c r="G42" i="19"/>
  <c r="G43" i="19"/>
  <c r="G44" i="19"/>
  <c r="G46" i="19"/>
  <c r="G47" i="19"/>
  <c r="G48" i="19"/>
  <c r="G49" i="19"/>
  <c r="G51" i="19"/>
  <c r="G52" i="19"/>
  <c r="G53" i="19"/>
  <c r="D56" i="19"/>
  <c r="E56" i="19"/>
  <c r="G56" i="19" s="1"/>
  <c r="F56" i="19"/>
  <c r="D9" i="18"/>
  <c r="F9" i="18"/>
  <c r="G9" i="18"/>
  <c r="H9" i="18"/>
  <c r="I9" i="18"/>
  <c r="N9" i="18" s="1"/>
  <c r="J9" i="18"/>
  <c r="L9" i="18"/>
  <c r="M9" i="18"/>
  <c r="K10" i="18"/>
  <c r="L10" i="18"/>
  <c r="M10" i="18"/>
  <c r="N10" i="18"/>
  <c r="K11" i="18"/>
  <c r="L11" i="18"/>
  <c r="M11" i="18"/>
  <c r="N11" i="18"/>
  <c r="K12" i="18"/>
  <c r="L12" i="18"/>
  <c r="M12" i="18"/>
  <c r="N12" i="18"/>
  <c r="L13" i="18"/>
  <c r="K14" i="18"/>
  <c r="L14" i="18"/>
  <c r="M14" i="18"/>
  <c r="N14" i="18"/>
  <c r="K15" i="18"/>
  <c r="L15" i="18"/>
  <c r="M15" i="18"/>
  <c r="N15" i="18"/>
  <c r="D16" i="18"/>
  <c r="E16" i="18"/>
  <c r="F16" i="18"/>
  <c r="M16" i="18" s="1"/>
  <c r="H16" i="18"/>
  <c r="I16" i="18"/>
  <c r="J16" i="18"/>
  <c r="K16" i="18"/>
  <c r="L16" i="18"/>
  <c r="G17" i="18"/>
  <c r="G16" i="18" s="1"/>
  <c r="K17" i="18"/>
  <c r="L17" i="18"/>
  <c r="M17" i="18"/>
  <c r="N17" i="18"/>
  <c r="K18" i="18"/>
  <c r="L18" i="18"/>
  <c r="M18" i="18"/>
  <c r="N18" i="18"/>
  <c r="K19" i="18"/>
  <c r="L19" i="18"/>
  <c r="M19" i="18"/>
  <c r="N19" i="18"/>
  <c r="K20" i="18"/>
  <c r="L20" i="18"/>
  <c r="M20" i="18"/>
  <c r="N20" i="18"/>
  <c r="K21" i="18"/>
  <c r="L21" i="18"/>
  <c r="M21" i="18"/>
  <c r="N21" i="18"/>
  <c r="K22" i="18"/>
  <c r="L22" i="18"/>
  <c r="D23" i="18"/>
  <c r="E23" i="18"/>
  <c r="F23" i="18"/>
  <c r="H23" i="18"/>
  <c r="I23" i="18"/>
  <c r="J23" i="18"/>
  <c r="L23" i="18"/>
  <c r="M23" i="18"/>
  <c r="J27" i="22" l="1"/>
  <c r="I27" i="22"/>
  <c r="J33" i="22"/>
  <c r="I33" i="22"/>
  <c r="K14" i="22"/>
  <c r="K33" i="22"/>
  <c r="D35" i="22"/>
  <c r="E35" i="22"/>
  <c r="H35" i="22"/>
  <c r="F35" i="22"/>
  <c r="G35" i="22"/>
  <c r="K27" i="22"/>
  <c r="K24" i="22"/>
  <c r="K9" i="22"/>
  <c r="J12" i="21"/>
  <c r="K23" i="18"/>
  <c r="E28" i="23"/>
  <c r="G23" i="18"/>
  <c r="N16" i="18"/>
  <c r="D20" i="23"/>
  <c r="D17" i="23"/>
  <c r="L17" i="23"/>
  <c r="L9" i="23"/>
  <c r="L20" i="23"/>
  <c r="N23" i="18"/>
  <c r="K9" i="18"/>
  <c r="K46" i="21"/>
  <c r="J9" i="21"/>
  <c r="J24" i="22"/>
  <c r="J14" i="22"/>
  <c r="K9" i="23"/>
  <c r="J46" i="21"/>
  <c r="J9" i="22"/>
  <c r="H28" i="23"/>
  <c r="K25" i="23"/>
  <c r="K20" i="23"/>
  <c r="E46" i="21"/>
  <c r="L46" i="21" s="1"/>
  <c r="E15" i="13"/>
  <c r="D15" i="13"/>
  <c r="E12" i="13"/>
  <c r="D10" i="13"/>
  <c r="D12" i="13" s="1"/>
  <c r="D16" i="13" s="1"/>
  <c r="E9" i="13"/>
  <c r="E16" i="13" s="1"/>
  <c r="D9" i="13"/>
  <c r="K35" i="22" l="1"/>
  <c r="I35" i="22"/>
  <c r="J35" i="22"/>
  <c r="K28" i="23"/>
  <c r="L28" i="23"/>
  <c r="F16" i="8"/>
  <c r="E16" i="8"/>
  <c r="F15" i="8"/>
  <c r="E15" i="8"/>
  <c r="F14" i="8"/>
  <c r="E14" i="8"/>
  <c r="F13" i="8"/>
  <c r="E13" i="8"/>
  <c r="F12" i="8"/>
  <c r="E12" i="8"/>
  <c r="F11" i="8"/>
  <c r="E11" i="8"/>
  <c r="F10" i="8"/>
  <c r="E10" i="8"/>
  <c r="F12" i="7"/>
  <c r="E12" i="7"/>
  <c r="F11" i="7"/>
  <c r="E11" i="7"/>
  <c r="F10" i="7"/>
  <c r="E10" i="7"/>
  <c r="F9" i="7"/>
  <c r="E9" i="7"/>
  <c r="F16" i="6"/>
  <c r="E16" i="6"/>
  <c r="F15" i="6"/>
  <c r="E15" i="6"/>
  <c r="F14" i="6"/>
  <c r="E14" i="6"/>
  <c r="F13" i="6"/>
  <c r="E13" i="6"/>
  <c r="F12" i="6"/>
  <c r="E12" i="6"/>
  <c r="F11" i="6"/>
  <c r="E11" i="6"/>
  <c r="F10" i="6"/>
  <c r="E10" i="6"/>
  <c r="F9" i="6"/>
  <c r="E9" i="6"/>
  <c r="E17" i="3"/>
  <c r="E16" i="3"/>
  <c r="E15" i="3"/>
  <c r="E13" i="3"/>
  <c r="E11" i="3"/>
  <c r="E10" i="3"/>
  <c r="E9" i="3"/>
</calcChain>
</file>

<file path=xl/sharedStrings.xml><?xml version="1.0" encoding="utf-8"?>
<sst xmlns="http://schemas.openxmlformats.org/spreadsheetml/2006/main" count="888" uniqueCount="594">
  <si>
    <t>Gráfico 1. Tasa de Crecimiento del Producto Interno Bruto (PIB) e Incidencia de la Demanda Interna y Externa (Enfoque del Gasto)</t>
  </si>
  <si>
    <t>2016-2019</t>
  </si>
  <si>
    <t>Enero-Marzo (2017-2020)</t>
  </si>
  <si>
    <t>Gráfico 2. Tasa de Crecimiento del Producto Interno Bruto (PIB) de la República Dominicana</t>
  </si>
  <si>
    <t>Fuente: Banco Central de la República Dominicana.</t>
  </si>
  <si>
    <t>Cuadro 2. Tasa de Crecimiento e Incidencia del PIB de la República Dominicana</t>
  </si>
  <si>
    <t>Enero-Marzo (2019-2020)</t>
  </si>
  <si>
    <t>COMPONENTES</t>
  </si>
  <si>
    <t>Enero-Marzo</t>
  </si>
  <si>
    <r>
      <t xml:space="preserve">Desaceleración de las Tasas de Crecimiento </t>
    </r>
    <r>
      <rPr>
        <b/>
        <vertAlign val="superscript"/>
        <sz val="10"/>
        <color indexed="9"/>
        <rFont val="Arial"/>
        <family val="2"/>
      </rPr>
      <t>(1)</t>
    </r>
  </si>
  <si>
    <t>Tasa de Crecimiento (%)</t>
  </si>
  <si>
    <t>Incidencia</t>
  </si>
  <si>
    <t>Consumo Final</t>
  </si>
  <si>
    <t>Consumo Privado</t>
  </si>
  <si>
    <t>Consumo Público</t>
  </si>
  <si>
    <r>
      <t>Formación Bruta de Capital</t>
    </r>
    <r>
      <rPr>
        <b/>
        <vertAlign val="superscript"/>
        <sz val="10"/>
        <color indexed="8"/>
        <rFont val="Arial"/>
        <family val="2"/>
      </rPr>
      <t xml:space="preserve"> </t>
    </r>
  </si>
  <si>
    <t>Formación Bruta de Capital Fijo</t>
  </si>
  <si>
    <t xml:space="preserve">Variación de Existencias </t>
  </si>
  <si>
    <t>Exportaciones</t>
  </si>
  <si>
    <t>Importaciones</t>
  </si>
  <si>
    <t>Producto Interno Bruto</t>
  </si>
  <si>
    <t xml:space="preserve"> (Por el Enfoque del Gasto)</t>
  </si>
  <si>
    <r>
      <rPr>
        <b/>
        <vertAlign val="superscript"/>
        <sz val="9"/>
        <color indexed="8"/>
        <rFont val="Calibri"/>
        <family val="2"/>
        <scheme val="minor"/>
      </rPr>
      <t>(1)</t>
    </r>
    <r>
      <rPr>
        <b/>
        <sz val="9"/>
        <color indexed="8"/>
        <rFont val="Calibri"/>
        <family val="2"/>
        <scheme val="minor"/>
      </rPr>
      <t xml:space="preserve"> La variación en puntos porcentuales de las tasas de crecimiento por componente. </t>
    </r>
  </si>
  <si>
    <t xml:space="preserve"> Tasa de Crecimiento (%) e Incidencia (Puntos Porcentuales) </t>
  </si>
  <si>
    <t>Cuadro 3. Producto Interno Bruto por Sectores de Origen Enero-Marzo (2019-2020)</t>
  </si>
  <si>
    <t>Actividad Económica</t>
  </si>
  <si>
    <t>Agropecuario</t>
  </si>
  <si>
    <t>Subsector Agricola</t>
  </si>
  <si>
    <t>Ganadería, Silvicultura y Pesca</t>
  </si>
  <si>
    <t>Industrias</t>
  </si>
  <si>
    <t>Explotación de Minas y Canteras</t>
  </si>
  <si>
    <t>Manufactura Local</t>
  </si>
  <si>
    <t>Industrias de Alimentos</t>
  </si>
  <si>
    <t>Elaboración de Bebidas y Productos de Tabaco</t>
  </si>
  <si>
    <t>Fabricación de Productos de la Refinación de Petróleo y Quimicos</t>
  </si>
  <si>
    <t>Otras Manufacturas</t>
  </si>
  <si>
    <t>Manufactura Zonas Francas</t>
  </si>
  <si>
    <t>Construcción</t>
  </si>
  <si>
    <t>Servicios</t>
  </si>
  <si>
    <t>Energía y Agua</t>
  </si>
  <si>
    <t>Comercio</t>
  </si>
  <si>
    <t>Hoteles, Bares y Restaurantes</t>
  </si>
  <si>
    <t>Transporte y Almacenamiento</t>
  </si>
  <si>
    <t>Comunicaciones</t>
  </si>
  <si>
    <t>Intermediación Financiera, Seguros y Actividades Conexas</t>
  </si>
  <si>
    <t>Actividades Inmobiliarias y de Alquiler</t>
  </si>
  <si>
    <t>Enseñanza</t>
  </si>
  <si>
    <t>Enseñanza de Mercado</t>
  </si>
  <si>
    <t>Enseñanza No de Mercado</t>
  </si>
  <si>
    <t>Salud</t>
  </si>
  <si>
    <t>Salud de Mercado</t>
  </si>
  <si>
    <t>Salud No de Mercado</t>
  </si>
  <si>
    <t>Otras Actividades de Servicios de Mercado</t>
  </si>
  <si>
    <t>Administración Pública y Defensa; Seguridad Social de Afiliación Obligatoria y Otros Servicios</t>
  </si>
  <si>
    <t>Valor Agregado</t>
  </si>
  <si>
    <t>Impuestos a la producción netos de subsidios</t>
  </si>
  <si>
    <t>Gráfico 3. Cuenta Corriente de la República Dominicana</t>
  </si>
  <si>
    <t>Enero-Marzo (2015-2020)</t>
  </si>
  <si>
    <t>Cuadro 4. Cuenta Corriente de la República Dominicana</t>
  </si>
  <si>
    <t>Conceptos</t>
  </si>
  <si>
    <t>Variación Absoluta (Millones US$)</t>
  </si>
  <si>
    <t>Variación Porcentual (%)</t>
  </si>
  <si>
    <t>1. Cuenta Corriente</t>
  </si>
  <si>
    <t>1.1 Balanza de Bienes y Servicios</t>
  </si>
  <si>
    <t>1.1.1 Balanza de Bienes</t>
  </si>
  <si>
    <t>1.1.2 Balanza de Servicios</t>
  </si>
  <si>
    <t>1.2 Ingreso Primario</t>
  </si>
  <si>
    <t>Remuneración de Empleados</t>
  </si>
  <si>
    <t>Renta de la Inversión</t>
  </si>
  <si>
    <t>1.3 Ingreso Secundario</t>
  </si>
  <si>
    <t>Cuenta Financiera</t>
  </si>
  <si>
    <t>Inversión Directa</t>
  </si>
  <si>
    <t>Inversión de Cartera</t>
  </si>
  <si>
    <t>Otra Inversión</t>
  </si>
  <si>
    <t>Cuadro 5. Cuenta Financiera de la República Dominicana</t>
  </si>
  <si>
    <t>Cuadro 6. Generación de Divisas de la República Dominicana</t>
  </si>
  <si>
    <t>Ingresos de Divisas</t>
  </si>
  <si>
    <t>Exportaciones de Bienes</t>
  </si>
  <si>
    <t>Nacionales</t>
  </si>
  <si>
    <t>Zonas Francas</t>
  </si>
  <si>
    <t>Ingresos por Turismo</t>
  </si>
  <si>
    <t>Ingresos por Otros Servicios</t>
  </si>
  <si>
    <t>Remesas Familiares</t>
  </si>
  <si>
    <t>Inversión Extranjera Directa</t>
  </si>
  <si>
    <t>Cuadro 7. Precios de Bienes Primarios (Petróleo y Oro)</t>
  </si>
  <si>
    <t>Enero-Junio (2019-2020)</t>
  </si>
  <si>
    <t>Valores en US$</t>
  </si>
  <si>
    <t>Detalle</t>
  </si>
  <si>
    <t>PGE 2020</t>
  </si>
  <si>
    <t>Marco Macroeconómico Mayo 2020</t>
  </si>
  <si>
    <t>Variación Tasa de Crecimiento (%)</t>
  </si>
  <si>
    <t>2020/2019</t>
  </si>
  <si>
    <t>2020/ PGE 2020</t>
  </si>
  <si>
    <t>2020/ Marco Macro</t>
  </si>
  <si>
    <t>Petróleo WTI (US$ por barril)</t>
  </si>
  <si>
    <t>Oro (US$/Oz)</t>
  </si>
  <si>
    <t xml:space="preserve">Fuente: The Pink Sheet-Banco Mundial; Marco Macroeconómico revisado en septiembre 2019 (PGE 2020) y el revisado en mayo 2020. </t>
  </si>
  <si>
    <t>Cuadro 8. Tipo de Cambio y Tasa de Depreciación Acumulada</t>
  </si>
  <si>
    <t>Tipo de Cambio (Promedio)</t>
  </si>
  <si>
    <t>Depreciación (%)</t>
  </si>
  <si>
    <t>DETALLE</t>
  </si>
  <si>
    <t>PRESUPUESTO INICIAL 2020</t>
  </si>
  <si>
    <t>PRESUPUESTO APROBADO 2020</t>
  </si>
  <si>
    <t>ENERO-JUNIO</t>
  </si>
  <si>
    <t>RECAUDADO 2019</t>
  </si>
  <si>
    <t>ESTIMADO 2020*</t>
  </si>
  <si>
    <t>REESTIMADO 2020**</t>
  </si>
  <si>
    <t>RECAUDADO 2020</t>
  </si>
  <si>
    <t>%PIB</t>
  </si>
  <si>
    <t>7=(6/PIB)</t>
  </si>
  <si>
    <t>1.1 Ingresos Corrientes</t>
  </si>
  <si>
    <t xml:space="preserve">1.2 Ingresos De Capital </t>
  </si>
  <si>
    <t>Total De Ingresos (1.1 + 1.2)</t>
  </si>
  <si>
    <t>Donaciones</t>
  </si>
  <si>
    <t>Total de ingresos con Donaciones</t>
  </si>
  <si>
    <t>% VARIACIÓN 2020 VS 2019</t>
  </si>
  <si>
    <t>% RESPECTO PRESUPUESTO INICIAL</t>
  </si>
  <si>
    <t>% RESPECTO PRESUPUESTO APROBADO</t>
  </si>
  <si>
    <t>ESTIMADO VS RECAUDADO</t>
  </si>
  <si>
    <t>REESTIMADO VS RECAUDADO</t>
  </si>
  <si>
    <t>% VARIACIÓN RELATIVA</t>
  </si>
  <si>
    <t>VARIACION ABSOLUTA</t>
  </si>
  <si>
    <t>CUMPLIMIENTO %</t>
  </si>
  <si>
    <t>VARIACIÓN  2017 VS 2016</t>
  </si>
  <si>
    <t>8=(6/3)-1</t>
  </si>
  <si>
    <t>9=(6/1)</t>
  </si>
  <si>
    <t>10=(6/2)</t>
  </si>
  <si>
    <t>11=(6-4)</t>
  </si>
  <si>
    <t>12=(6/4)-1</t>
  </si>
  <si>
    <t>13=(6-5)</t>
  </si>
  <si>
    <t>14=(6/5)</t>
  </si>
  <si>
    <t>Cuadro 10. Ingresos del Gobierno Central</t>
  </si>
  <si>
    <t>VARIACIÓN ABSOLUTA</t>
  </si>
  <si>
    <t xml:space="preserve">Notas: Se incluyen las donaciones. </t>
  </si>
  <si>
    <t>Se utilizó el PIB del Panorama Macroeconómico actualizado al 25/05/2020, elaborado por MEPYD.</t>
  </si>
  <si>
    <t xml:space="preserve">El Estimado 2020 hace referencia a la estimación mensual utilizada para el Presupuesto Inicial, correspondiente a la Ley No.506- 19. </t>
  </si>
  <si>
    <t xml:space="preserve">El Reestimado 2020 hace referencia a la reestimación mensual utilizadas para el Presupuesto Aprobado 2020 corresponde a la Ley No.68-20. </t>
  </si>
  <si>
    <t xml:space="preserve">Se incluyen los Recursos de Captación Directa. </t>
  </si>
  <si>
    <t xml:space="preserve">Fecha de registro: 05/07/2020 </t>
  </si>
  <si>
    <t>Fecha de recaudación: 30/06/2020</t>
  </si>
  <si>
    <t>Fuente: Sistema de Información de la Gestión Financiera (SIGEF).</t>
  </si>
  <si>
    <t>Cuadro 11. Ingresos del Gobierno Central</t>
  </si>
  <si>
    <t xml:space="preserve">Clasificación Económica </t>
  </si>
  <si>
    <t>1.1.1 - Impuestos</t>
  </si>
  <si>
    <t>1.1.1.1 - Impuestos sobre el ingreso, las utilidades  y las ganancias de capital</t>
  </si>
  <si>
    <t>1.1.1.1.1 - De personas físicas</t>
  </si>
  <si>
    <t>1.1.1.1.2 - De empresas y otras corporaciones</t>
  </si>
  <si>
    <t>1.1.1.1.3 - Otros impuestos sobre los ingresos</t>
  </si>
  <si>
    <t>1.1.1.3 - Impuestos sobre la propiedad</t>
  </si>
  <si>
    <t>1.1.1.4 - Impuestos sobre los bienes y servicios</t>
  </si>
  <si>
    <t>1.1.4.1.01 - Impuesto sobre la Transferencia de Bienes Industrializados y Servicios (ITBIS)</t>
  </si>
  <si>
    <t>Interno</t>
  </si>
  <si>
    <t>Externo</t>
  </si>
  <si>
    <t>1.1.4.2.01 - Impuesto específico sobre los hidrocarburos, Ley  112-00</t>
  </si>
  <si>
    <t>1.1.4.2.02 - Impuesto selectivo ad  valorem sobre  hidrocarburos, Ley  557-05</t>
  </si>
  <si>
    <t>Impuesto sobre el Consumo de las Bebidas Alcohólicas</t>
  </si>
  <si>
    <t>Impuesto Selectivo al Tabaco y los Cigarrillos</t>
  </si>
  <si>
    <t>Otros Impuestos sobre los Bienes y Servicios</t>
  </si>
  <si>
    <t>1.1.1.5 - Impuestos sobre el comercio y las transacciones internacionales/comercio exterior</t>
  </si>
  <si>
    <t>1.1.5.1.01 - Impuestos arancelarios</t>
  </si>
  <si>
    <t xml:space="preserve">Otros Impuestos sobre el Comercio Exterior y Transacciones Int. </t>
  </si>
  <si>
    <t>1.1.1.6 - Impuestos ecológicos</t>
  </si>
  <si>
    <t>1.1.1.9 - Impuestos diversos</t>
  </si>
  <si>
    <t>1.1.2 - Contribuciones a la seguridad social</t>
  </si>
  <si>
    <t>1.1.2.1 - Contribuciones de los empleados</t>
  </si>
  <si>
    <t>1.1.2.1.1 - Contribuciones de empleados del sector público</t>
  </si>
  <si>
    <t>1.1.2.1.2 - Contribuciones de empleados del sector privado</t>
  </si>
  <si>
    <t>1.1.2.2 - Contribuciones de los empleadores</t>
  </si>
  <si>
    <t>1.1.2.2.1 - Contribuciones de empleadores del sector público</t>
  </si>
  <si>
    <t>1.1.2.2.2 - Contribuciones de empleadores del sector privado</t>
  </si>
  <si>
    <t>1.1.2.4 - Contribuciones no clasificables</t>
  </si>
  <si>
    <t>1.1.3 - Ventas de bienes y servicios</t>
  </si>
  <si>
    <t>1.1.3.1 - Ventas de establecimientos no de mercado</t>
  </si>
  <si>
    <t>1.1.3.3 - Derechos administrativos</t>
  </si>
  <si>
    <t>1.1.4 - Rentas de la propiedad</t>
  </si>
  <si>
    <t>1.1.4.1 - Intereses</t>
  </si>
  <si>
    <t>1.1.4.1.1 - Intereses internos</t>
  </si>
  <si>
    <t>1.1.4.1.2 - Intereses externos</t>
  </si>
  <si>
    <t>1.1.4.2 - Rentas de la propiedad distinta de intereses</t>
  </si>
  <si>
    <t>1.1.4.2.1 - Dividendos y retiros de las cuasisociedades</t>
  </si>
  <si>
    <t>1.1.4.2.2 - Arrendamientos de activos tangibles no producidos</t>
  </si>
  <si>
    <t>1.1.6 - Transferencias y donaciones corrientes recibidas</t>
  </si>
  <si>
    <t>1.1.6.1 - Transferencias del sector privado</t>
  </si>
  <si>
    <t>1.1.6.2 - Transferencias del sector público</t>
  </si>
  <si>
    <t>1.1.7 - Multas y sanciones pecuniarias</t>
  </si>
  <si>
    <t>1.1.9 - Otros ingresos corrientes</t>
  </si>
  <si>
    <t xml:space="preserve"> - Depósitos en exceso</t>
  </si>
  <si>
    <t xml:space="preserve"> - Miscelaneos</t>
  </si>
  <si>
    <t xml:space="preserve"> - Fianzas Judiciales y depósitos en consignación</t>
  </si>
  <si>
    <t xml:space="preserve"> - Devolución impuesto selectivo al consumo de combustibles</t>
  </si>
  <si>
    <t xml:space="preserve"> - Ingresos por diferencial del gas licuado de petróleo</t>
  </si>
  <si>
    <t xml:space="preserve"> - Otros ingresos diversos</t>
  </si>
  <si>
    <t>1.2.1 - Venta (disposición) de activos no financieros (a valores brutos)</t>
  </si>
  <si>
    <t>1.2.4 - Transferencias de capital recibidas</t>
  </si>
  <si>
    <t>1.2.5 - Recuperación de inversiones financieras realizadas con fines de política</t>
  </si>
  <si>
    <t>Donaciones Corrientes</t>
  </si>
  <si>
    <t>Donaciones de Capital</t>
  </si>
  <si>
    <t>Gráfico 6. Recaudación por Entidad Recaudadora</t>
  </si>
  <si>
    <t>Fecha</t>
  </si>
  <si>
    <t>Medida</t>
  </si>
  <si>
    <t>Moneda Nacional</t>
  </si>
  <si>
    <t>Moneda Extranjera</t>
  </si>
  <si>
    <t xml:space="preserve">18 de Marzo </t>
  </si>
  <si>
    <t>Encaje Legal</t>
  </si>
  <si>
    <t>Provisión de Liquidez (Repos)</t>
  </si>
  <si>
    <t>Sub-Total (18 de Marzo)</t>
  </si>
  <si>
    <t>26 de Marzo</t>
  </si>
  <si>
    <t>Sub-Total (26 de Marzo)</t>
  </si>
  <si>
    <t>16 de Abril</t>
  </si>
  <si>
    <t>Sub-Total (16 de Abril)</t>
  </si>
  <si>
    <t>Total</t>
  </si>
  <si>
    <t>Cuadro 9. Medidas Consolidadas de Provisión de Liquidez</t>
  </si>
  <si>
    <t>Enero-Junio 2020</t>
  </si>
  <si>
    <t>Gráfico 5. Tasas de Interés del BCRD</t>
  </si>
  <si>
    <t>(2018 - Junio 2020)</t>
  </si>
  <si>
    <t xml:space="preserve">Gráfico 4. Inflación Interanual </t>
  </si>
  <si>
    <t>(2017 - 2020)</t>
  </si>
  <si>
    <t>Fuentes: World Economic Outlook - enero, abril, y junio 2020; Banco Central de la República Dominicana; Marco Macroeconómico revisado en junio 2020.</t>
  </si>
  <si>
    <t>*Proyecciones</t>
  </si>
  <si>
    <t>-</t>
  </si>
  <si>
    <t>República Dominicana</t>
  </si>
  <si>
    <t>América Latina y el Caribe</t>
  </si>
  <si>
    <t>China</t>
  </si>
  <si>
    <t>Economías Emergentes</t>
  </si>
  <si>
    <t>Zona Euro</t>
  </si>
  <si>
    <t>Estados Unidos</t>
  </si>
  <si>
    <t>Economías Avanzadas</t>
  </si>
  <si>
    <t>Economía Mundial</t>
  </si>
  <si>
    <t>WEO Abril 2020</t>
  </si>
  <si>
    <t>WEO enero 2020</t>
  </si>
  <si>
    <t>Variación de Proyecciones 2020</t>
  </si>
  <si>
    <t>2021*</t>
  </si>
  <si>
    <t>2020*</t>
  </si>
  <si>
    <t>Cuadro 1. Tasas de Crecimiento de la Economía Mundial, Estados Unidos, Zona Euro, China y República Dominicana 2018-2021</t>
  </si>
  <si>
    <t>Fecha de imputació 30/06/2020</t>
  </si>
  <si>
    <t>Para la ejecución de 2019 se utilizó fecha de registro 15/07/2019 y fecha de imputación 30/06/2019</t>
  </si>
  <si>
    <t>El Presupuesto aprobado 2020 corresponde a la Ley No. 68-20</t>
  </si>
  <si>
    <t>El Presupuesto inicial 2020 corresponde a la Ley No.506-19 de Presupuesto General del Estado 2020.</t>
  </si>
  <si>
    <t>Se utilizó el PIB del Panorama Macroeconómico actualizado al 25/05/2020, elaborado por el Ministerio de Economía, Planificación y de Desarrollo.</t>
  </si>
  <si>
    <t>Notas: Se incluyen donaciones</t>
  </si>
  <si>
    <t>TOTAL</t>
  </si>
  <si>
    <t>2.2.8 - Gastos de capital, reserva presupuestaria</t>
  </si>
  <si>
    <t>2.2.6 - Transferencias de capital otorgadas</t>
  </si>
  <si>
    <t>2.2.5 - Activos no producidos</t>
  </si>
  <si>
    <t>2.2.4 - Objetos de valor</t>
  </si>
  <si>
    <t>2.2.2 - Activos fijos (formación bruta de capital fijo)</t>
  </si>
  <si>
    <t>2.2.1 - Construcciones en proceso</t>
  </si>
  <si>
    <t>2.2 - Gastos de capital</t>
  </si>
  <si>
    <t>2.1.9 - Otros gastos corrientes</t>
  </si>
  <si>
    <t>2.1.6 - Transferencias corrientes otorgadas</t>
  </si>
  <si>
    <t>2.1.5 - Subvenciones otorgadas a empresas</t>
  </si>
  <si>
    <t>2.1.2 - Gastos de consumo</t>
  </si>
  <si>
    <t>2.1 - Gastos corrientes</t>
  </si>
  <si>
    <t>11=(6/4)</t>
  </si>
  <si>
    <t>10=(6-3)/3</t>
  </si>
  <si>
    <t>8=(6/2)</t>
  </si>
  <si>
    <t>% DE EJECUCIÓN</t>
  </si>
  <si>
    <t>VARIACION PORCENTUAL</t>
  </si>
  <si>
    <t>% DE EJECUCION</t>
  </si>
  <si>
    <t>PAGADO 2020</t>
  </si>
  <si>
    <t>EJECUCIÓN 2020</t>
  </si>
  <si>
    <t>COMPROMETIDO 2020</t>
  </si>
  <si>
    <t>PROGRAMACIÓN 2020</t>
  </si>
  <si>
    <t>EJECUCIÓN  2019</t>
  </si>
  <si>
    <t>PROGRAMADO 2020 VS EJECUTADO 2020</t>
  </si>
  <si>
    <t>EJECUTADO 2019 VS 2020</t>
  </si>
  <si>
    <t>Enero‐Junio 2019‐2020</t>
  </si>
  <si>
    <t>Clasificación Económica de Gastos del Gobierno Central</t>
  </si>
  <si>
    <t>PIB Nominal</t>
  </si>
  <si>
    <t>Los datos de la población fueron tomados de las proyecciones de la Oficina Nacional de Estadísticas (ONE)</t>
  </si>
  <si>
    <t>Fuente: Sistema de Información de Gestión Financiera (SIGEF)</t>
  </si>
  <si>
    <t>Cifras preliminares</t>
  </si>
  <si>
    <t>Notas</t>
  </si>
  <si>
    <t>MULTIREGIONAL</t>
  </si>
  <si>
    <t>MULTIPROVINCIAL</t>
  </si>
  <si>
    <t>SANTO DOMINGO</t>
  </si>
  <si>
    <t>DISTRITO NACIONAL</t>
  </si>
  <si>
    <t>REGION OZAMA O METROPOLITANA</t>
  </si>
  <si>
    <t>HATO MAYOR</t>
  </si>
  <si>
    <t>MONTE PLATA</t>
  </si>
  <si>
    <t>SAN PEDRO DE MACORIS</t>
  </si>
  <si>
    <t>REGION HIGUAMO</t>
  </si>
  <si>
    <t>LA ROMANA</t>
  </si>
  <si>
    <t>LA ALTAGRACIA</t>
  </si>
  <si>
    <t>EL SEIBO</t>
  </si>
  <si>
    <t>REGION YUMA</t>
  </si>
  <si>
    <t>SAN JUAN</t>
  </si>
  <si>
    <t>ELIAS PINA</t>
  </si>
  <si>
    <t>REGION EL VALLE</t>
  </si>
  <si>
    <t>PEDERNALES</t>
  </si>
  <si>
    <t>INDEPENDENCIA</t>
  </si>
  <si>
    <t>BARAHONA</t>
  </si>
  <si>
    <t>BAHORUCO</t>
  </si>
  <si>
    <t>REGION ENRIQUILLO</t>
  </si>
  <si>
    <t>SAN JOSE DE OCOA</t>
  </si>
  <si>
    <t>SAN CRISTOBAL</t>
  </si>
  <si>
    <t>PERAVIA</t>
  </si>
  <si>
    <t>AZUA</t>
  </si>
  <si>
    <t>REGION VALDESIA</t>
  </si>
  <si>
    <t>VALVERDE</t>
  </si>
  <si>
    <t>SANTIAGO RODRIGUEZ</t>
  </si>
  <si>
    <t>MONTE CRISTI</t>
  </si>
  <si>
    <t>DAJABON</t>
  </si>
  <si>
    <t>REGION CIBAO NOROESTE</t>
  </si>
  <si>
    <t>SAMANA</t>
  </si>
  <si>
    <t>HERMANAS MIRABAL</t>
  </si>
  <si>
    <t>MARIA TRINIDAD SANCHEZ</t>
  </si>
  <si>
    <t>DUARTE</t>
  </si>
  <si>
    <t>REGION CIBAO NORDESTE</t>
  </si>
  <si>
    <t>MONSENOR NOUEL</t>
  </si>
  <si>
    <t>SANCHEZ RAMIREZ</t>
  </si>
  <si>
    <t>LA VEGA</t>
  </si>
  <si>
    <t>REGION CIBAO SUR</t>
  </si>
  <si>
    <t>SANTIAGO</t>
  </si>
  <si>
    <t>PUERTO PLATA</t>
  </si>
  <si>
    <t>ESPAILLAT</t>
  </si>
  <si>
    <t>REGION CIBAO NORTE</t>
  </si>
  <si>
    <t>RD$/persona</t>
  </si>
  <si>
    <t>INVERSIÓN PER CÁPITA</t>
  </si>
  <si>
    <t>POBLACIÓN</t>
  </si>
  <si>
    <t>EJECUCIÓN ENERO-JUNIO 2020</t>
  </si>
  <si>
    <t>Valores en Millones RD$</t>
  </si>
  <si>
    <t>Enero - Junio 2020</t>
  </si>
  <si>
    <t>Inversión per Capita por Provincia</t>
  </si>
  <si>
    <t>Nota: Cifras preliminares</t>
  </si>
  <si>
    <t>TOTAL PROYECTOS DE INVERSIÓN</t>
  </si>
  <si>
    <t>OTROS PROYECTOS DE INVERSIÓN</t>
  </si>
  <si>
    <t>OTROS</t>
  </si>
  <si>
    <t>CONSTRUCCIÓN DE LA AVENIDA DE CIRCUNVALACION DE BANI EN LA PROVINCIA PERAVIA</t>
  </si>
  <si>
    <t>Recuperación de la Cobertura Vegetal en Cuencas Hidrográficas de la República Dominicana.</t>
  </si>
  <si>
    <t>CONSTRUCCIÓN DE LA CIRCUNVALACION DE AZUA 1RA. ETAPA, EN LA PROVINCIA AZUA</t>
  </si>
  <si>
    <t>RECONSTRUCCIÓN CARRETERA CRUCE 15 DE AZUA -ENTRADA BARAHONA PROVINCIAS AZUA, BAHORUCO Y BARAHONA</t>
  </si>
  <si>
    <t>REPARACIÓN HOSPITALES DE LA PROVINCIA BARAHONA</t>
  </si>
  <si>
    <t>RECUPERACIÓN DE LA COBERTURA VEGETAL EN CUENCAS HIDROGRÁFICAS DE LA REPÚBLICA DOMINICANA.</t>
  </si>
  <si>
    <t>RECONSTRUCCIÓN ENTRADA DE ACCESO A LA PROVINCIA SAMANÁ</t>
  </si>
  <si>
    <t>CONSTRUCCIÓN DE LA AVENIDA CIRCUNVALACIÓN DE SAN FRANCISCO DE MACORÍS, PROVINCIA DUARTE</t>
  </si>
  <si>
    <t>CONSTRUCCIÓN  HOSPITAL REGIONAL EN SAN FRANCISCO DE MACORIS, PROV. DUARTE</t>
  </si>
  <si>
    <t>AMPLIACIÓN DEL SISTEMA NACIONAL DE ATENCIÓN A EMERGENCIA Y SEGURIDAD 9-1-1</t>
  </si>
  <si>
    <t>CONSTRUCCIÓN CARRETERA TURISTICA GREGORIO LUPERÓN, PROVINCIA PUERTO PLATA</t>
  </si>
  <si>
    <t>RECONSTRUCCIÓN HOSPITAL JOSE MARIA CABRAL Y BAEZ, SANTIAGO, PROVINCIA SANTIAGO</t>
  </si>
  <si>
    <t>CONSTRUCCIÓN DE PLANTELES EDUCATIVOS EN LA PROVINCIA SANTO DOMINGO (FASE 3)</t>
  </si>
  <si>
    <t>RECONSTRUCCIÓN AVENIDA ECOLÓGICA HASTA LA CIUDAD JUAN BOSCH, SANTO DOMINGO</t>
  </si>
  <si>
    <t>CONSTRUCCIÓN DE LA CIUDAD SANITARIA DR. LUIS E. AYBAR, DISTRITO NACIONAL</t>
  </si>
  <si>
    <t>CONSTRUCCIÓN DEL TRAMO III DE LA AVENIDA CIRCUNVALACIÓN SANTO DOMINGO (PROF. JUAN BOSCH)</t>
  </si>
  <si>
    <t>HUMANIZACION DEL SISTEMA PENITENCIARIO DE LA REPÚBLICA DOMINICANA</t>
  </si>
  <si>
    <t>PROYECTOS DE INVERSIÓN</t>
  </si>
  <si>
    <t>Valores en millones RD$</t>
  </si>
  <si>
    <t>Principales Proyectos de Inversión por Regiones</t>
  </si>
  <si>
    <t>Se incluyen donaciones.</t>
  </si>
  <si>
    <t>Notas: Cifras Preliminares</t>
  </si>
  <si>
    <t>TOTAL GASTO</t>
  </si>
  <si>
    <t>0999 - ADMINISTRACION DE OBLIGACIONES DEL TESORO NACIONAL</t>
  </si>
  <si>
    <t>0998 - ADMINISTRACION DE DEUDA PUBLICA Y ACTIVOS FINANCIEROS</t>
  </si>
  <si>
    <t>0405 - TRIBUNAL SUPERIOR  ELECTORAL ( TSE)</t>
  </si>
  <si>
    <t>0404 - DEFENSOR DEL PUEBLO</t>
  </si>
  <si>
    <t>0403 - TRIBUNAL CONSTITUCIONAL</t>
  </si>
  <si>
    <t>0402 - CÁMARA DE CUENTAS</t>
  </si>
  <si>
    <t>0401 - JUNTA CENTRAL ELECTORAL</t>
  </si>
  <si>
    <t>ORGANISMOS ESPECIALES</t>
  </si>
  <si>
    <t>0301 - PODER JUDICIAL</t>
  </si>
  <si>
    <t>PODER JUDICIAL</t>
  </si>
  <si>
    <t>0222 - MINISTERIO DE ENERGIA Y MINAS</t>
  </si>
  <si>
    <t>0221 - MINISTERIO DE ADMINISTRACION PUBLICA</t>
  </si>
  <si>
    <t>0220 - MINISTERIO DE ECONOMIA, PLANIFICACION Y DESARROLLO</t>
  </si>
  <si>
    <t>0219 - MINISTERIO DE EDUCACION SUPERIOR  CIENCIA Y  TECNOLOGIA</t>
  </si>
  <si>
    <t>0218 - MINISTERIO DE MEDIO AMBIENTE Y RECURSOS NATURALES</t>
  </si>
  <si>
    <t>0217 - MINISTERIO DE LA JUVENTUD</t>
  </si>
  <si>
    <t>0216 - MINISTERIO DE CULTURA</t>
  </si>
  <si>
    <t>0215 - MINISTERIO DE LA MUJER</t>
  </si>
  <si>
    <t>0214 - PROCURADURÍA GENERAL DE LA REPUBLICA</t>
  </si>
  <si>
    <t>0213 - MINISTERIO DE TURISMO</t>
  </si>
  <si>
    <t>0212 - MINISTERIO DE INDUSTRIA Y COMERCIO</t>
  </si>
  <si>
    <t>0211 - MINISTERIO DE OBRAS PUBLICAS Y COMUNICACIONES</t>
  </si>
  <si>
    <t>0210 - MINISTERIO DE AGRICULTURA</t>
  </si>
  <si>
    <t>0209 - MINISTERIO DE TRABAJO</t>
  </si>
  <si>
    <t>0208 - MINISTERIO DE DEPORTES, EDUCACION FISICA Y RECREACION</t>
  </si>
  <si>
    <t>0207 - MINISTERIO DE SALUD PÚBLICA Y ASISTENCIA SOCIAL</t>
  </si>
  <si>
    <t>0206 - MINISTERIO DE EDUCACIÓN</t>
  </si>
  <si>
    <t>0205 - MINISTERIO DE HACIENDA</t>
  </si>
  <si>
    <t>0204 - MINISTERIO DE RELACIONES EXTERIORES</t>
  </si>
  <si>
    <t>0203 - MINISTERIO DE DEFENSA</t>
  </si>
  <si>
    <t>0202 - MINISTERIO DE  INTERIOR Y POLICIA</t>
  </si>
  <si>
    <t>0201 - PRESIDENCIA DE LA REPUBLICA</t>
  </si>
  <si>
    <t>PODER EJECUTIVO</t>
  </si>
  <si>
    <t>0102 - CAMARA DE DIPUTADOS</t>
  </si>
  <si>
    <t>0101 - SENADO DE LA REPUBLICA</t>
  </si>
  <si>
    <t>PODER LEGISLATIVO</t>
  </si>
  <si>
    <t xml:space="preserve">EJECUCIÓN 2020      </t>
  </si>
  <si>
    <t xml:space="preserve">EJECUCIÓN  2019    </t>
  </si>
  <si>
    <t>Gasto Ejecutado Instituciones del Estado</t>
  </si>
  <si>
    <t>El Presupuesto Inicial 2020 corresponde a la Ley No.506-19 de Presupuesto General del Estado 2020.</t>
  </si>
  <si>
    <t>5.1 - Intereses y comisiones de deuda pública</t>
  </si>
  <si>
    <t>5 - INTERESES DE LA DEUDA PÚBLICA</t>
  </si>
  <si>
    <t>4.5 - Protección social</t>
  </si>
  <si>
    <t>4.4 - Educación</t>
  </si>
  <si>
    <t>4.3 - Actividades deportivas, recreativas, culturales y religiosas</t>
  </si>
  <si>
    <t>4.2 - Salud</t>
  </si>
  <si>
    <t>4.1 - Vivienda y servicios comunitarios</t>
  </si>
  <si>
    <t>4 - SERVICIOS SOCIALES</t>
  </si>
  <si>
    <t>3.2 - Protección de la biodiversidad y ordenación de desechos.</t>
  </si>
  <si>
    <t>3.1 - Protección del aire, agua y suelo.</t>
  </si>
  <si>
    <t>3 - PROTECCIÓN DEL MEDIO AMBIENTE</t>
  </si>
  <si>
    <t>2.9 - Otros servicios económicos</t>
  </si>
  <si>
    <t>2.8 - Banca y seguros</t>
  </si>
  <si>
    <t>2.7 - Comunicaciones.</t>
  </si>
  <si>
    <t>2.6 - Transporte</t>
  </si>
  <si>
    <t>2.5 - Minería, manufactura y construcción</t>
  </si>
  <si>
    <t>2.4 -  Energía y combustible</t>
  </si>
  <si>
    <t>2.3 - Riego</t>
  </si>
  <si>
    <t>2.2 - Agropecuaria, caza, pesca y silvicultura</t>
  </si>
  <si>
    <t>2.1 - Asuntos económicos y  laborales</t>
  </si>
  <si>
    <t>2 - SERVICIOS ECONÓMICOS</t>
  </si>
  <si>
    <t>1.4 - Justicia, orden público y seguridad</t>
  </si>
  <si>
    <t>1.3 - Defensa nacional</t>
  </si>
  <si>
    <t>1.2 - Relaciones internacionales</t>
  </si>
  <si>
    <t>1.1 - Administración general</t>
  </si>
  <si>
    <t>1 - SERVICIOS  GENERALES</t>
  </si>
  <si>
    <t>Gasto Ejecutado según Clasificación Funcional</t>
  </si>
  <si>
    <t xml:space="preserve">F. Financiamiento Neto (D-E) </t>
  </si>
  <si>
    <t>E.2 Disminución de Pasivos</t>
  </si>
  <si>
    <t>E.1 Incremento de Activos Financieros</t>
  </si>
  <si>
    <t>E. Aplicaciones Financieras</t>
  </si>
  <si>
    <t>D.2 Fuentes Externas</t>
  </si>
  <si>
    <t>D.1 Fuentes Internas</t>
  </si>
  <si>
    <t xml:space="preserve">D. Fuentes Financieras </t>
  </si>
  <si>
    <t>C. Resultado Financiero (A-B)</t>
  </si>
  <si>
    <t xml:space="preserve">Resultado Capital (A.2-B.2) </t>
  </si>
  <si>
    <t>Resultado Económico (A.1-B.1)</t>
  </si>
  <si>
    <t xml:space="preserve">Resultado Primario [A-[B-(B.1.1)] </t>
  </si>
  <si>
    <t>Resultados Presupuestarios</t>
  </si>
  <si>
    <t>B.2) Gastos de Capital</t>
  </si>
  <si>
    <t>B.1.1 De los cuales: Intereses</t>
  </si>
  <si>
    <t xml:space="preserve">B.1) Gastos Corrientes </t>
  </si>
  <si>
    <t xml:space="preserve">B. Total de Gastos </t>
  </si>
  <si>
    <t>A.2) Ingresos de Capital</t>
  </si>
  <si>
    <t xml:space="preserve">A.1) Ingresos Corrientes </t>
  </si>
  <si>
    <t xml:space="preserve">A. Total de Ingresos </t>
  </si>
  <si>
    <t>(3/2)</t>
  </si>
  <si>
    <t>(5-3)/3</t>
  </si>
  <si>
    <t>(5/PIB)</t>
  </si>
  <si>
    <t>6</t>
  </si>
  <si>
    <t>5</t>
  </si>
  <si>
    <t>4</t>
  </si>
  <si>
    <t>3</t>
  </si>
  <si>
    <t>2</t>
  </si>
  <si>
    <t>1</t>
  </si>
  <si>
    <t xml:space="preserve">% EJECUCIÓN </t>
  </si>
  <si>
    <t xml:space="preserve">% VARIACIÓN </t>
  </si>
  <si>
    <t>% PIB</t>
  </si>
  <si>
    <t>PAGADO  
ENERO-JUNIO 2020</t>
  </si>
  <si>
    <t>EJECUCIÓN  
ENERO-JUNIO 2020</t>
  </si>
  <si>
    <t>COMPROMETIDO  
ENERO-JUNIO 2020</t>
  </si>
  <si>
    <t>EJECUCIÓN  
ENERO-JUNIO 2019</t>
  </si>
  <si>
    <t>Enero‐Junio 2020</t>
  </si>
  <si>
    <t>Intereses</t>
  </si>
  <si>
    <t>* Datos para 2020 y 2021 son proyecciones</t>
  </si>
  <si>
    <t>Fuente: Marco Macroeconómico 2020-2024, revisado al 25 de mayo 2020</t>
  </si>
  <si>
    <t>Crecimiento PIB real</t>
  </si>
  <si>
    <t>Crecimiento PIB real EEUU</t>
  </si>
  <si>
    <t>Tasa de Cambio (Promedio)</t>
  </si>
  <si>
    <t>Inflación (diciembre)</t>
  </si>
  <si>
    <t>2019-2021</t>
  </si>
  <si>
    <t>Inflación (Promedio)</t>
  </si>
  <si>
    <t>4. Fuentes supuestos exógenos: Consensus ForecastsTM, FMI, Banco Mundial, EIA y Bloomberg.</t>
  </si>
  <si>
    <t>3. La meta de inflación se relaciona con el objetivo de inflación establecido por la Junta Monetaria del Banco Central; en cambio las proyecciones de inflación corresponden a los resultados esperados, dada la evolución de los precios domésticos, los precios internacionales del petróleo y otros determinantes.</t>
  </si>
  <si>
    <t>2. De 2022 en adelante, se proyecta la inflación con la consecución de la meta establecida por el Banco Central.</t>
  </si>
  <si>
    <t xml:space="preserve">1. Proyecciones del Ministerio de Economía, Planificación y Desarrollo, consensuadas con el Banco Central y el Ministerio de Hacienda. </t>
  </si>
  <si>
    <t xml:space="preserve">Notas:  </t>
  </si>
  <si>
    <t>Inflación EE.UU. (diciembre)</t>
  </si>
  <si>
    <t>Inflación EE.UU. (promedio)</t>
  </si>
  <si>
    <t>Crecimiento PIB real EE.UU (%)</t>
  </si>
  <si>
    <t>Carbón mineral API2 (US$/TM)</t>
  </si>
  <si>
    <t>Nickel (US$/TM)</t>
  </si>
  <si>
    <t>SUPUESTOS :</t>
  </si>
  <si>
    <t>Tasa de variación (%)</t>
  </si>
  <si>
    <t>Tasa de cambio (promedio)</t>
  </si>
  <si>
    <t>Crecimiento deflactor PIB</t>
  </si>
  <si>
    <t>Inflación (promedio)</t>
  </si>
  <si>
    <r>
      <t>Meta de inflación (</t>
    </r>
    <r>
      <rPr>
        <sz val="11"/>
        <rFont val="Calibri"/>
        <family val="2"/>
      </rPr>
      <t>±</t>
    </r>
    <r>
      <rPr>
        <sz val="11"/>
        <rFont val="Arial"/>
        <family val="2"/>
      </rPr>
      <t>1)</t>
    </r>
  </si>
  <si>
    <t>Crecimiento del PIB nominal en US$</t>
  </si>
  <si>
    <t>PIB nominal (Millones de US$)</t>
  </si>
  <si>
    <t>Crecimiento del PIB nominal</t>
  </si>
  <si>
    <t>PIB nominal (Millones RD$)</t>
  </si>
  <si>
    <t>Crecimiento del PIB real</t>
  </si>
  <si>
    <t>PIB real (Indice 2007=100)</t>
  </si>
  <si>
    <t>Revisado el 25 de mayo de 2020</t>
  </si>
  <si>
    <t>Variación relativa</t>
  </si>
  <si>
    <t>Revisado al 25/05/2020</t>
  </si>
  <si>
    <t>Revisado al 04/09/2019</t>
  </si>
  <si>
    <t>Fuentes: Dirección General de Crédito Público y Banco Central de la República Dominicana</t>
  </si>
  <si>
    <t>1/ Enero-Marzo</t>
  </si>
  <si>
    <t xml:space="preserve">Deuda en Dolares </t>
  </si>
  <si>
    <t xml:space="preserve">Deuda en Pesos </t>
  </si>
  <si>
    <t xml:space="preserve">Tasa de Int. Prom. Deuda Interna </t>
  </si>
  <si>
    <t>Tasa de Int. Prom. Deuda Externa</t>
  </si>
  <si>
    <t>Tasa de Int. Prom. Deuda Pública SPNF</t>
  </si>
  <si>
    <t>Tasas de Interés de la Deuda Pública (Enero-Marzo)</t>
  </si>
  <si>
    <t>Tasas de Política Monetaria</t>
  </si>
  <si>
    <t>Tasas de Interés de Política Monetaria (Enero-Junio)</t>
  </si>
  <si>
    <t xml:space="preserve">%PIB </t>
  </si>
  <si>
    <t xml:space="preserve">Balanza de Bienes </t>
  </si>
  <si>
    <t>Cuenta Corriente</t>
  </si>
  <si>
    <t>Cuenta Corriente (Millones US$) 1/</t>
  </si>
  <si>
    <t>Tasa de Desocupación Abierta</t>
  </si>
  <si>
    <t>Tasa de Ocupación</t>
  </si>
  <si>
    <t>Tasas de Empleo y de Desempleo (Enero-Marzo)</t>
  </si>
  <si>
    <t>Venta</t>
  </si>
  <si>
    <t>Tasa de Cambio (Enero-Junio)</t>
  </si>
  <si>
    <t>Inflación</t>
  </si>
  <si>
    <t>Precios (Enero-Mayo)</t>
  </si>
  <si>
    <t>PIB real</t>
  </si>
  <si>
    <t>Producto Interno Bruto (Enero-Marzo)</t>
  </si>
  <si>
    <t>Resumen de Variables 2019-2020</t>
  </si>
  <si>
    <t>Fecha de imputación: 30/06/2020</t>
  </si>
  <si>
    <t>Fecha de registro: 05/07/2020</t>
  </si>
  <si>
    <t>Para el resto de partidas, se utilizó el PIB del Panorama Macroeconómico actualizado al 25/05/2020, elaborado por el Ministerio de Economía, Planificación y de Desarrollo.</t>
  </si>
  <si>
    <t>Para el presupuesto inicial, se utilizó el PIB del Panorama Macroeconómico actualizado al 04/09/2019, elaborado por el Ministerio de Economía, Planificación y de Desarrollo.</t>
  </si>
  <si>
    <t>El Presupuesto Aprobado 2020 corresponde a la Ley núm. 68-20 que modifica la Ley núm. 506-19</t>
  </si>
  <si>
    <t>% PIB 2020</t>
  </si>
  <si>
    <t xml:space="preserve">Resultado Capital </t>
  </si>
  <si>
    <t>Resultado Económico</t>
  </si>
  <si>
    <t>EJECUCIÓN ENERO-JUNIO  2020</t>
  </si>
  <si>
    <t>PROGRAMACIÓN ENERO-JUNIO  2020</t>
  </si>
  <si>
    <t xml:space="preserve">Resultado Primario </t>
  </si>
  <si>
    <t>Otros gastos</t>
  </si>
  <si>
    <t>Gastos Totales</t>
  </si>
  <si>
    <t>Ingresos Totales</t>
  </si>
  <si>
    <t>PIB MAYO 2020</t>
  </si>
  <si>
    <t>PIB FORMULACION</t>
  </si>
  <si>
    <t>gasto capital</t>
  </si>
  <si>
    <t>gasto corriente</t>
  </si>
  <si>
    <t>Gasto Total</t>
  </si>
  <si>
    <t>donaciones</t>
  </si>
  <si>
    <t>ingreso capital</t>
  </si>
  <si>
    <t>ingreso corriente</t>
  </si>
  <si>
    <t>Ingreso Total</t>
  </si>
  <si>
    <t>Resultado Financiero</t>
  </si>
  <si>
    <t xml:space="preserve">ejecucion </t>
  </si>
  <si>
    <t>programacion</t>
  </si>
  <si>
    <t>aprobado</t>
  </si>
  <si>
    <t>inicial</t>
  </si>
  <si>
    <t>B. Total de Gastos</t>
  </si>
  <si>
    <t>A. Total de Ingresos</t>
  </si>
  <si>
    <t>PAGADO</t>
  </si>
  <si>
    <t>Fuente: Dirección General de Crédito Público</t>
  </si>
  <si>
    <t>Nota: El PIB empleado corresponde a la actualización de Junio 2020 del Marco Macroeconómico</t>
  </si>
  <si>
    <t>Bonos - Desmaterialización Prestamo</t>
  </si>
  <si>
    <t>Bonos CDEEE</t>
  </si>
  <si>
    <t>Bancos Comerciales u otras Instituciones Financieras</t>
  </si>
  <si>
    <t>Bonos de Recapitalización del Banco Central</t>
  </si>
  <si>
    <t>Bonos de Subasta</t>
  </si>
  <si>
    <t>Interna</t>
  </si>
  <si>
    <t>Bilaterales</t>
  </si>
  <si>
    <t>Multilaterales</t>
  </si>
  <si>
    <t>Suplidores</t>
  </si>
  <si>
    <t>Banca Comercial</t>
  </si>
  <si>
    <t>Bonos</t>
  </si>
  <si>
    <t>Privados</t>
  </si>
  <si>
    <t>Externa</t>
  </si>
  <si>
    <t>(Millones de US$)</t>
  </si>
  <si>
    <t>Participación</t>
  </si>
  <si>
    <t>Monto</t>
  </si>
  <si>
    <t>Tipo/Acreedor</t>
  </si>
  <si>
    <t>Mayo 2020</t>
  </si>
  <si>
    <t xml:space="preserve"> Cuadro 17. Componentes del Déficit Global del Gobierno Central</t>
  </si>
  <si>
    <t xml:space="preserve"> Cuadro 18. Resultado Primario del Gobierno Central</t>
  </si>
  <si>
    <t xml:space="preserve"> Cuadro 19. Resultado Económico y de Capital del Gobierno Central</t>
  </si>
  <si>
    <t>Cuadro 20. Balance del Gobierno Central y sus Componentes</t>
  </si>
  <si>
    <t>Cuadro 21. Composición de la Deuda del SPNF</t>
  </si>
  <si>
    <t>Gráfico 7. Proyecciones Principales Variables Macroeconómicas</t>
  </si>
  <si>
    <t>Cuadro 22. Panorama Macroeconómico 2020 - 2024</t>
  </si>
  <si>
    <t>Cuadro 23. Comparativo de Proyecciones Macroeconómicas 2020</t>
  </si>
  <si>
    <t>Cuadro 24. Informaciones Adicionales Relacionadas al Panorama Macroeconómico</t>
  </si>
  <si>
    <t>Resultado Primario</t>
  </si>
  <si>
    <t>Gasto primario</t>
  </si>
  <si>
    <t>Gastos totales</t>
  </si>
  <si>
    <t>Ingresos fiscales</t>
  </si>
  <si>
    <t>Ingresos totales</t>
  </si>
  <si>
    <t>Diferencia</t>
  </si>
  <si>
    <t>Ciere 2020</t>
  </si>
  <si>
    <t>% del PIB</t>
  </si>
  <si>
    <t>En RD$</t>
  </si>
  <si>
    <t>PIB</t>
  </si>
  <si>
    <t>Cuadro 25. Proyección Preliminar de Resultados Presupuestarios del Gobierno Central 2020</t>
  </si>
  <si>
    <t>Fuente: Dirección General de Presupuesto (DIGEPRES) y Ministerio de Hacienda.</t>
  </si>
  <si>
    <t>Cuadro 26. Proyección Preliminar de Resultados Presupuestarios del Gobierno Central 2021</t>
  </si>
  <si>
    <t>Fuente: Ministerio de Hacienda.</t>
  </si>
  <si>
    <t>Cierre 2020</t>
  </si>
  <si>
    <t>2.1.3 - Prestaciones de la seguridad social</t>
  </si>
  <si>
    <t>2.1.4 - Intereses</t>
  </si>
  <si>
    <t xml:space="preserve">*El Estimado 2020 hace referencia a la estimación mensual utilizada para el Presupuesto Inicial, correspondiente a la Ley No.506- 19. </t>
  </si>
  <si>
    <t xml:space="preserve">**El Reestimado 2020 hace referencia a la reestimación mensual utilizadas para el Presupuesto Aprobado 2020 corresponde a la Ley No.68-20. </t>
  </si>
  <si>
    <t>6=(4/1)</t>
  </si>
  <si>
    <t>8=(4-2)/2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</si>
</sst>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(* #,##0.00_);_(* \(#,##0.00\);_(* &quot;-&quot;??_);_(@_)"/>
    <numFmt numFmtId="164" formatCode="#,##0.0"/>
    <numFmt numFmtId="165" formatCode="#,##0.000"/>
    <numFmt numFmtId="166" formatCode="0.0"/>
    <numFmt numFmtId="167" formatCode="0.0%"/>
    <numFmt numFmtId="168" formatCode="_([$$-1C0A]* #,##0.0_);_([$$-1C0A]* \(#,##0.0\);_([$$-1C0A]* &quot;-&quot;??_);_(@_)"/>
    <numFmt numFmtId="169" formatCode="_(* #,##0_);_(* \(#,##0\);_(* &quot;-&quot;??_);_(@_)"/>
    <numFmt numFmtId="170" formatCode="_-* #,##0.00\ _€_-;\-* #,##0.00\ _€_-;_-* &quot;-&quot;??\ _€_-;_-@_-"/>
    <numFmt numFmtId="171" formatCode="_(* #,##0.0_);_(* \(#,##0.0\);_(* &quot;-&quot;??_);_(@_)"/>
    <numFmt numFmtId="172" formatCode="#,##0;\-#,##0"/>
    <numFmt numFmtId="173" formatCode="#,##0.00;\-#,##0.00"/>
    <numFmt numFmtId="174" formatCode="_-* #,##0.00_-;\-* #,##0.00_-;_-* &quot;-&quot;??_-;_-@_-"/>
    <numFmt numFmtId="175" formatCode="_ * #,##0.0_ ;_ * \-#,##0.0_ ;_ * &quot;-&quot;??_ ;_ @_ "/>
    <numFmt numFmtId="176" formatCode="_-* #,##0\ _€_-;\-* #,##0\ _€_-;_-* &quot;-&quot;??\ _€_-;_-@_-"/>
    <numFmt numFmtId="177" formatCode="0.000%"/>
    <numFmt numFmtId="178" formatCode="%#,#00"/>
    <numFmt numFmtId="179" formatCode="_(* #,##0.000_);_(* \(#,##0.000\);_(* &quot;-&quot;??_);_(@_)"/>
  </numFmts>
  <fonts count="7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vertAlign val="superscript"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vertAlign val="superscript"/>
      <sz val="10"/>
      <color indexed="8"/>
      <name val="Arial"/>
      <family val="2"/>
    </font>
    <font>
      <b/>
      <vertAlign val="superscript"/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BenchNine Regular"/>
    </font>
    <font>
      <b/>
      <sz val="9"/>
      <color theme="1"/>
      <name val="BenchNine Regular"/>
    </font>
    <font>
      <sz val="10"/>
      <color theme="1"/>
      <name val="BenchNine Regular"/>
    </font>
    <font>
      <b/>
      <sz val="10"/>
      <color theme="0"/>
      <name val="BenchNine Regular"/>
    </font>
    <font>
      <b/>
      <sz val="12"/>
      <color theme="1"/>
      <name val="AvenirNext LT Pro Regular"/>
    </font>
    <font>
      <b/>
      <sz val="9"/>
      <color indexed="8"/>
      <name val="Avenir Next Regular"/>
    </font>
    <font>
      <b/>
      <sz val="9"/>
      <color theme="0"/>
      <name val="BenchNine Regular"/>
    </font>
    <font>
      <sz val="10"/>
      <name val="Arial"/>
      <family val="2"/>
    </font>
    <font>
      <sz val="9"/>
      <name val="enchNine Regular"/>
    </font>
    <font>
      <b/>
      <sz val="9"/>
      <color theme="1"/>
      <name val="enchNine Regular"/>
    </font>
    <font>
      <b/>
      <sz val="8"/>
      <color theme="0"/>
      <name val="BenchNine Regular"/>
    </font>
    <font>
      <b/>
      <sz val="12"/>
      <color theme="1"/>
      <name val="Avenir Next LT Pro"/>
    </font>
    <font>
      <b/>
      <sz val="9"/>
      <name val="enchNine Regula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enchNine Regular"/>
    </font>
    <font>
      <b/>
      <sz val="9"/>
      <color theme="0"/>
      <name val="enchNine Regular"/>
    </font>
    <font>
      <sz val="12"/>
      <color theme="1"/>
      <name val="Calibri"/>
      <family val="2"/>
      <scheme val="minor"/>
    </font>
    <font>
      <i/>
      <sz val="9"/>
      <color theme="1"/>
      <name val="enchNine Regula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</font>
    <font>
      <sz val="10.5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indexed="8"/>
      <name val="Arial"/>
      <family val="2"/>
    </font>
    <font>
      <sz val="1"/>
      <color indexed="8"/>
      <name val="Courier"/>
      <family val="3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enchNine Regular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7"/>
      <color theme="1"/>
      <name val="Calibri Light"/>
      <family val="2"/>
    </font>
  </fonts>
  <fills count="20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C4781"/>
        <bgColor theme="4" tint="0.79998168889431442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C4781"/>
        <bgColor indexed="64"/>
      </patternFill>
    </fill>
    <fill>
      <patternFill patternType="solid">
        <fgColor rgb="FFDEECF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theme="4" tint="0.79998168889431442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70C0"/>
        <bgColor indexed="64"/>
      </patternFill>
    </fill>
  </fills>
  <borders count="1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auto="1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-0.499984740745262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medium">
        <color theme="0"/>
      </left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 style="medium">
        <color theme="0"/>
      </right>
      <top style="medium">
        <color theme="0"/>
      </top>
      <bottom style="thin">
        <color theme="4"/>
      </bottom>
      <diagonal/>
    </border>
    <border>
      <left/>
      <right/>
      <top style="medium">
        <color theme="0"/>
      </top>
      <bottom style="thin">
        <color theme="4"/>
      </bottom>
      <diagonal/>
    </border>
    <border>
      <left style="medium">
        <color theme="0"/>
      </left>
      <right/>
      <top style="thin">
        <color theme="0"/>
      </top>
      <bottom style="thin">
        <color theme="4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/>
      <bottom style="thin">
        <color theme="4" tint="0.39997558519241921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thin">
        <color theme="4"/>
      </bottom>
      <diagonal/>
    </border>
    <border>
      <left/>
      <right/>
      <top/>
      <bottom style="medium">
        <color theme="4"/>
      </bottom>
      <diagonal/>
    </border>
    <border>
      <left style="medium">
        <color theme="0"/>
      </left>
      <right/>
      <top/>
      <bottom style="medium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/>
      <bottom style="medium">
        <color theme="3" tint="0.59999389629810485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9" fillId="0" borderId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0" fontId="29" fillId="0" borderId="0"/>
    <xf numFmtId="43" fontId="29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46" fillId="0" borderId="0"/>
    <xf numFmtId="178" fontId="60" fillId="0" borderId="0">
      <protection locked="0"/>
    </xf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9" fontId="4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17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indent="2"/>
    </xf>
    <xf numFmtId="164" fontId="7" fillId="0" borderId="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indent="3"/>
    </xf>
    <xf numFmtId="164" fontId="8" fillId="0" borderId="5" xfId="0" applyNumberFormat="1" applyFont="1" applyBorder="1" applyAlignment="1">
      <alignment horizontal="center" vertical="center"/>
    </xf>
    <xf numFmtId="0" fontId="7" fillId="3" borderId="6" xfId="0" applyFont="1" applyFill="1" applyBorder="1"/>
    <xf numFmtId="164" fontId="7" fillId="3" borderId="7" xfId="2" applyNumberFormat="1" applyFont="1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wrapText="1"/>
    </xf>
    <xf numFmtId="0" fontId="0" fillId="0" borderId="0" xfId="0" applyAlignment="1"/>
    <xf numFmtId="4" fontId="7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left" indent="3"/>
    </xf>
    <xf numFmtId="0" fontId="8" fillId="0" borderId="4" xfId="0" applyFont="1" applyBorder="1" applyAlignment="1">
      <alignment horizontal="left" indent="4"/>
    </xf>
    <xf numFmtId="0" fontId="8" fillId="0" borderId="4" xfId="0" applyFont="1" applyBorder="1" applyAlignment="1">
      <alignment horizontal="left" wrapText="1" indent="4"/>
    </xf>
    <xf numFmtId="165" fontId="8" fillId="0" borderId="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indent="5"/>
    </xf>
    <xf numFmtId="0" fontId="8" fillId="0" borderId="4" xfId="0" applyFont="1" applyBorder="1" applyAlignment="1">
      <alignment horizontal="left" vertical="center" wrapText="1" indent="4"/>
    </xf>
    <xf numFmtId="0" fontId="7" fillId="0" borderId="4" xfId="0" applyFont="1" applyBorder="1" applyAlignment="1">
      <alignment horizontal="left" indent="1"/>
    </xf>
    <xf numFmtId="0" fontId="7" fillId="0" borderId="6" xfId="0" applyFont="1" applyBorder="1"/>
    <xf numFmtId="164" fontId="7" fillId="0" borderId="7" xfId="2" applyNumberFormat="1" applyFont="1" applyFill="1" applyBorder="1" applyAlignment="1" applyProtection="1">
      <alignment horizontal="center" vertical="center"/>
    </xf>
    <xf numFmtId="164" fontId="8" fillId="0" borderId="5" xfId="0" applyNumberFormat="1" applyFont="1" applyFill="1" applyBorder="1" applyAlignment="1">
      <alignment horizontal="center" vertical="center"/>
    </xf>
    <xf numFmtId="164" fontId="7" fillId="0" borderId="5" xfId="0" applyNumberFormat="1" applyFont="1" applyFill="1" applyBorder="1" applyAlignment="1">
      <alignment horizontal="center" vertical="center"/>
    </xf>
    <xf numFmtId="166" fontId="13" fillId="3" borderId="4" xfId="0" applyNumberFormat="1" applyFont="1" applyFill="1" applyBorder="1" applyAlignment="1">
      <alignment horizontal="left"/>
    </xf>
    <xf numFmtId="164" fontId="13" fillId="3" borderId="4" xfId="1" applyNumberFormat="1" applyFont="1" applyFill="1" applyBorder="1" applyAlignment="1">
      <alignment horizontal="center" vertical="center"/>
    </xf>
    <xf numFmtId="167" fontId="13" fillId="3" borderId="4" xfId="2" applyNumberFormat="1" applyFont="1" applyFill="1" applyBorder="1" applyAlignment="1">
      <alignment horizontal="center" vertical="center"/>
    </xf>
    <xf numFmtId="166" fontId="14" fillId="0" borderId="4" xfId="0" applyNumberFormat="1" applyFont="1" applyBorder="1" applyAlignment="1">
      <alignment horizontal="left"/>
    </xf>
    <xf numFmtId="164" fontId="14" fillId="0" borderId="4" xfId="1" applyNumberFormat="1" applyFont="1" applyFill="1" applyBorder="1" applyAlignment="1">
      <alignment horizontal="center" vertical="center"/>
    </xf>
    <xf numFmtId="167" fontId="14" fillId="0" borderId="4" xfId="2" applyNumberFormat="1" applyFont="1" applyFill="1" applyBorder="1" applyAlignment="1">
      <alignment horizontal="center" vertical="center"/>
    </xf>
    <xf numFmtId="166" fontId="15" fillId="0" borderId="4" xfId="0" applyNumberFormat="1" applyFont="1" applyBorder="1" applyAlignment="1">
      <alignment horizontal="left" indent="1"/>
    </xf>
    <xf numFmtId="164" fontId="15" fillId="0" borderId="4" xfId="1" applyNumberFormat="1" applyFont="1" applyFill="1" applyBorder="1" applyAlignment="1">
      <alignment horizontal="center" vertical="center"/>
    </xf>
    <xf numFmtId="167" fontId="15" fillId="0" borderId="4" xfId="2" applyNumberFormat="1" applyFont="1" applyFill="1" applyBorder="1" applyAlignment="1">
      <alignment horizontal="center" vertical="center"/>
    </xf>
    <xf numFmtId="164" fontId="15" fillId="0" borderId="4" xfId="3" applyNumberFormat="1" applyFont="1" applyFill="1" applyBorder="1" applyAlignment="1">
      <alignment horizontal="center" vertical="center"/>
    </xf>
    <xf numFmtId="164" fontId="17" fillId="0" borderId="4" xfId="1" applyNumberFormat="1" applyFont="1" applyFill="1" applyBorder="1" applyAlignment="1">
      <alignment horizontal="center" vertical="center"/>
    </xf>
    <xf numFmtId="164" fontId="17" fillId="0" borderId="4" xfId="3" applyNumberFormat="1" applyFont="1" applyBorder="1" applyAlignment="1">
      <alignment horizontal="center" vertical="center"/>
    </xf>
    <xf numFmtId="167" fontId="17" fillId="0" borderId="4" xfId="2" applyNumberFormat="1" applyFont="1" applyBorder="1" applyAlignment="1">
      <alignment horizontal="center" vertical="center"/>
    </xf>
    <xf numFmtId="167" fontId="18" fillId="0" borderId="4" xfId="2" applyNumberFormat="1" applyFont="1" applyBorder="1" applyAlignment="1">
      <alignment horizontal="center" vertical="center"/>
    </xf>
    <xf numFmtId="166" fontId="14" fillId="0" borderId="6" xfId="0" applyNumberFormat="1" applyFont="1" applyBorder="1" applyAlignment="1">
      <alignment horizontal="left"/>
    </xf>
    <xf numFmtId="164" fontId="17" fillId="0" borderId="6" xfId="1" applyNumberFormat="1" applyFont="1" applyFill="1" applyBorder="1" applyAlignment="1">
      <alignment horizontal="center" vertical="center"/>
    </xf>
    <xf numFmtId="164" fontId="17" fillId="0" borderId="6" xfId="3" applyNumberFormat="1" applyFont="1" applyBorder="1" applyAlignment="1">
      <alignment horizontal="center" vertical="center"/>
    </xf>
    <xf numFmtId="167" fontId="17" fillId="0" borderId="6" xfId="2" applyNumberFormat="1" applyFont="1" applyBorder="1" applyAlignment="1">
      <alignment horizontal="center" vertical="center"/>
    </xf>
    <xf numFmtId="166" fontId="14" fillId="0" borderId="4" xfId="0" applyNumberFormat="1" applyFont="1" applyBorder="1" applyAlignment="1">
      <alignment horizontal="left" indent="1"/>
    </xf>
    <xf numFmtId="166" fontId="14" fillId="0" borderId="6" xfId="0" applyNumberFormat="1" applyFont="1" applyBorder="1" applyAlignment="1">
      <alignment horizontal="left" indent="1"/>
    </xf>
    <xf numFmtId="166" fontId="13" fillId="3" borderId="6" xfId="0" applyNumberFormat="1" applyFont="1" applyFill="1" applyBorder="1" applyAlignment="1">
      <alignment horizontal="left"/>
    </xf>
    <xf numFmtId="164" fontId="13" fillId="3" borderId="6" xfId="1" applyNumberFormat="1" applyFont="1" applyFill="1" applyBorder="1" applyAlignment="1">
      <alignment horizontal="center" vertical="center"/>
    </xf>
    <xf numFmtId="167" fontId="13" fillId="3" borderId="6" xfId="2" applyNumberFormat="1" applyFont="1" applyFill="1" applyBorder="1" applyAlignment="1">
      <alignment horizontal="center" vertical="center"/>
    </xf>
    <xf numFmtId="166" fontId="19" fillId="0" borderId="11" xfId="0" applyNumberFormat="1" applyFont="1" applyBorder="1" applyAlignment="1">
      <alignment horizontal="left" indent="1"/>
    </xf>
    <xf numFmtId="164" fontId="19" fillId="0" borderId="11" xfId="1" applyNumberFormat="1" applyFont="1" applyFill="1" applyBorder="1" applyAlignment="1" applyProtection="1">
      <alignment horizontal="center" vertical="center"/>
    </xf>
    <xf numFmtId="167" fontId="19" fillId="0" borderId="11" xfId="2" applyNumberFormat="1" applyFont="1" applyFill="1" applyBorder="1" applyAlignment="1" applyProtection="1">
      <alignment horizontal="center" vertical="center"/>
    </xf>
    <xf numFmtId="166" fontId="20" fillId="0" borderId="4" xfId="0" applyNumberFormat="1" applyFont="1" applyBorder="1" applyAlignment="1">
      <alignment horizontal="left" indent="3"/>
    </xf>
    <xf numFmtId="164" fontId="20" fillId="0" borderId="4" xfId="1" applyNumberFormat="1" applyFont="1" applyFill="1" applyBorder="1" applyAlignment="1">
      <alignment horizontal="center" vertical="center"/>
    </xf>
    <xf numFmtId="167" fontId="20" fillId="0" borderId="4" xfId="2" applyNumberFormat="1" applyFont="1" applyFill="1" applyBorder="1" applyAlignment="1">
      <alignment horizontal="center" vertical="center"/>
    </xf>
    <xf numFmtId="166" fontId="19" fillId="0" borderId="4" xfId="0" applyNumberFormat="1" applyFont="1" applyBorder="1" applyAlignment="1">
      <alignment horizontal="left" indent="1"/>
    </xf>
    <xf numFmtId="164" fontId="19" fillId="0" borderId="4" xfId="1" applyNumberFormat="1" applyFont="1" applyFill="1" applyBorder="1" applyAlignment="1" applyProtection="1">
      <alignment horizontal="center" vertical="center"/>
    </xf>
    <xf numFmtId="167" fontId="19" fillId="0" borderId="4" xfId="2" applyNumberFormat="1" applyFont="1" applyFill="1" applyBorder="1" applyAlignment="1" applyProtection="1">
      <alignment horizontal="center" vertical="center"/>
    </xf>
    <xf numFmtId="166" fontId="19" fillId="0" borderId="6" xfId="0" applyNumberFormat="1" applyFont="1" applyBorder="1" applyAlignment="1">
      <alignment horizontal="left" indent="1"/>
    </xf>
    <xf numFmtId="164" fontId="19" fillId="0" borderId="6" xfId="1" applyNumberFormat="1" applyFont="1" applyFill="1" applyBorder="1" applyAlignment="1" applyProtection="1">
      <alignment horizontal="center" vertical="center"/>
    </xf>
    <xf numFmtId="167" fontId="19" fillId="0" borderId="6" xfId="2" applyNumberFormat="1" applyFont="1" applyFill="1" applyBorder="1" applyAlignment="1" applyProtection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" fillId="5" borderId="2" xfId="0" applyFont="1" applyFill="1" applyBorder="1"/>
    <xf numFmtId="164" fontId="20" fillId="0" borderId="0" xfId="1" applyNumberFormat="1" applyFont="1" applyFill="1" applyBorder="1" applyAlignment="1" applyProtection="1">
      <alignment horizontal="center" vertical="center"/>
    </xf>
    <xf numFmtId="167" fontId="21" fillId="0" borderId="0" xfId="2" applyNumberFormat="1" applyFont="1" applyFill="1" applyBorder="1" applyAlignment="1">
      <alignment horizontal="center" vertical="center"/>
    </xf>
    <xf numFmtId="167" fontId="21" fillId="0" borderId="5" xfId="2" applyNumberFormat="1" applyFont="1" applyFill="1" applyBorder="1" applyAlignment="1">
      <alignment horizontal="center" vertical="center"/>
    </xf>
    <xf numFmtId="0" fontId="1" fillId="5" borderId="3" xfId="0" applyFont="1" applyFill="1" applyBorder="1"/>
    <xf numFmtId="164" fontId="20" fillId="0" borderId="15" xfId="1" applyNumberFormat="1" applyFont="1" applyFill="1" applyBorder="1" applyAlignment="1" applyProtection="1">
      <alignment horizontal="center" vertical="center"/>
    </xf>
    <xf numFmtId="167" fontId="21" fillId="0" borderId="15" xfId="2" applyNumberFormat="1" applyFont="1" applyFill="1" applyBorder="1" applyAlignment="1">
      <alignment horizontal="center" vertical="center"/>
    </xf>
    <xf numFmtId="167" fontId="21" fillId="0" borderId="7" xfId="2" applyNumberFormat="1" applyFont="1" applyFill="1" applyBorder="1" applyAlignment="1">
      <alignment horizontal="center" vertical="center"/>
    </xf>
    <xf numFmtId="164" fontId="20" fillId="0" borderId="5" xfId="1" applyNumberFormat="1" applyFont="1" applyFill="1" applyBorder="1" applyAlignment="1" applyProtection="1">
      <alignment horizontal="center" vertical="center"/>
    </xf>
    <xf numFmtId="164" fontId="20" fillId="0" borderId="7" xfId="1" applyNumberFormat="1" applyFont="1" applyFill="1" applyBorder="1" applyAlignment="1" applyProtection="1">
      <alignment horizontal="center" vertical="center"/>
    </xf>
    <xf numFmtId="0" fontId="2" fillId="6" borderId="27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left"/>
    </xf>
    <xf numFmtId="37" fontId="0" fillId="0" borderId="0" xfId="0" applyNumberFormat="1" applyAlignment="1">
      <alignment horizontal="right" vertical="center"/>
    </xf>
    <xf numFmtId="167" fontId="1" fillId="0" borderId="25" xfId="2" applyNumberFormat="1" applyFont="1" applyFill="1" applyBorder="1" applyAlignment="1">
      <alignment horizontal="center" vertical="center"/>
    </xf>
    <xf numFmtId="0" fontId="2" fillId="7" borderId="33" xfId="0" applyFont="1" applyFill="1" applyBorder="1" applyAlignment="1">
      <alignment horizontal="left" vertical="center"/>
    </xf>
    <xf numFmtId="37" fontId="2" fillId="7" borderId="33" xfId="0" applyNumberFormat="1" applyFont="1" applyFill="1" applyBorder="1" applyAlignment="1">
      <alignment horizontal="right" vertical="center"/>
    </xf>
    <xf numFmtId="167" fontId="2" fillId="7" borderId="34" xfId="2" applyNumberFormat="1" applyFont="1" applyFill="1" applyBorder="1" applyAlignment="1">
      <alignment horizontal="center" vertical="center"/>
    </xf>
    <xf numFmtId="0" fontId="2" fillId="6" borderId="44" xfId="0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center" vertical="center" wrapText="1"/>
    </xf>
    <xf numFmtId="167" fontId="1" fillId="0" borderId="0" xfId="2" applyNumberFormat="1" applyFont="1" applyFill="1" applyBorder="1" applyAlignment="1">
      <alignment horizontal="center" vertical="center"/>
    </xf>
    <xf numFmtId="167" fontId="2" fillId="7" borderId="33" xfId="2" applyNumberFormat="1" applyFont="1" applyFill="1" applyBorder="1" applyAlignment="1">
      <alignment horizontal="center" vertical="center"/>
    </xf>
    <xf numFmtId="0" fontId="2" fillId="6" borderId="46" xfId="0" applyFont="1" applyFill="1" applyBorder="1" applyAlignment="1">
      <alignment horizontal="center" vertical="center"/>
    </xf>
    <xf numFmtId="167" fontId="2" fillId="7" borderId="47" xfId="2" applyNumberFormat="1" applyFont="1" applyFill="1" applyBorder="1" applyAlignment="1">
      <alignment horizontal="center" vertical="center"/>
    </xf>
    <xf numFmtId="167" fontId="2" fillId="7" borderId="48" xfId="2" applyNumberFormat="1" applyFont="1" applyFill="1" applyBorder="1" applyAlignment="1">
      <alignment horizontal="center" vertical="center"/>
    </xf>
    <xf numFmtId="37" fontId="0" fillId="0" borderId="0" xfId="0" applyNumberFormat="1" applyBorder="1" applyAlignment="1">
      <alignment horizontal="right" vertical="center"/>
    </xf>
    <xf numFmtId="37" fontId="0" fillId="0" borderId="0" xfId="0" applyNumberFormat="1" applyBorder="1" applyAlignment="1">
      <alignment horizontal="right"/>
    </xf>
    <xf numFmtId="0" fontId="2" fillId="6" borderId="50" xfId="0" applyFont="1" applyFill="1" applyBorder="1" applyAlignment="1">
      <alignment horizontal="center" vertical="center"/>
    </xf>
    <xf numFmtId="0" fontId="2" fillId="6" borderId="50" xfId="0" applyFont="1" applyFill="1" applyBorder="1" applyAlignment="1">
      <alignment horizontal="center" vertical="center" wrapText="1"/>
    </xf>
    <xf numFmtId="0" fontId="2" fillId="6" borderId="51" xfId="0" applyFont="1" applyFill="1" applyBorder="1" applyAlignment="1">
      <alignment horizontal="center" vertical="center" wrapText="1"/>
    </xf>
    <xf numFmtId="0" fontId="2" fillId="6" borderId="52" xfId="0" applyFont="1" applyFill="1" applyBorder="1" applyAlignment="1">
      <alignment horizontal="center" vertical="center" wrapText="1"/>
    </xf>
    <xf numFmtId="0" fontId="2" fillId="6" borderId="53" xfId="0" applyFont="1" applyFill="1" applyBorder="1" applyAlignment="1">
      <alignment horizontal="center" vertical="center" wrapText="1"/>
    </xf>
    <xf numFmtId="0" fontId="3" fillId="8" borderId="29" xfId="0" applyFont="1" applyFill="1" applyBorder="1" applyAlignment="1">
      <alignment horizontal="left"/>
    </xf>
    <xf numFmtId="37" fontId="3" fillId="8" borderId="30" xfId="0" applyNumberFormat="1" applyFont="1" applyFill="1" applyBorder="1" applyAlignment="1">
      <alignment horizontal="right" vertical="center"/>
    </xf>
    <xf numFmtId="167" fontId="3" fillId="8" borderId="31" xfId="2" applyNumberFormat="1" applyFont="1" applyFill="1" applyBorder="1" applyAlignment="1">
      <alignment horizontal="center" vertical="center"/>
    </xf>
    <xf numFmtId="167" fontId="3" fillId="8" borderId="30" xfId="2" applyNumberFormat="1" applyFont="1" applyFill="1" applyBorder="1" applyAlignment="1">
      <alignment horizontal="center" vertical="center"/>
    </xf>
    <xf numFmtId="37" fontId="3" fillId="8" borderId="30" xfId="0" applyNumberFormat="1" applyFont="1" applyFill="1" applyBorder="1" applyAlignment="1">
      <alignment horizontal="right"/>
    </xf>
    <xf numFmtId="0" fontId="3" fillId="0" borderId="32" xfId="0" applyFont="1" applyBorder="1" applyAlignment="1">
      <alignment horizontal="left" indent="1"/>
    </xf>
    <xf numFmtId="37" fontId="3" fillId="0" borderId="0" xfId="0" applyNumberFormat="1" applyFont="1" applyAlignment="1">
      <alignment horizontal="right" vertical="center"/>
    </xf>
    <xf numFmtId="167" fontId="3" fillId="0" borderId="25" xfId="2" applyNumberFormat="1" applyFont="1" applyBorder="1" applyAlignment="1">
      <alignment horizontal="center" vertical="center"/>
    </xf>
    <xf numFmtId="167" fontId="3" fillId="0" borderId="0" xfId="2" applyNumberFormat="1" applyFont="1" applyBorder="1" applyAlignment="1">
      <alignment horizontal="center" vertical="center"/>
    </xf>
    <xf numFmtId="0" fontId="0" fillId="0" borderId="32" xfId="0" applyBorder="1" applyAlignment="1">
      <alignment horizontal="left" indent="2"/>
    </xf>
    <xf numFmtId="167" fontId="0" fillId="0" borderId="25" xfId="2" applyNumberFormat="1" applyFont="1" applyBorder="1" applyAlignment="1">
      <alignment horizontal="center" vertical="center"/>
    </xf>
    <xf numFmtId="167" fontId="0" fillId="0" borderId="0" xfId="2" applyNumberFormat="1" applyFont="1" applyBorder="1" applyAlignment="1">
      <alignment horizontal="center" vertical="center"/>
    </xf>
    <xf numFmtId="0" fontId="0" fillId="0" borderId="32" xfId="0" applyBorder="1" applyAlignment="1">
      <alignment horizontal="left" indent="3"/>
    </xf>
    <xf numFmtId="0" fontId="3" fillId="8" borderId="32" xfId="0" applyFont="1" applyFill="1" applyBorder="1" applyAlignment="1">
      <alignment horizontal="left"/>
    </xf>
    <xf numFmtId="37" fontId="3" fillId="8" borderId="0" xfId="0" applyNumberFormat="1" applyFont="1" applyFill="1" applyAlignment="1">
      <alignment horizontal="right" vertical="center"/>
    </xf>
    <xf numFmtId="167" fontId="3" fillId="8" borderId="25" xfId="2" applyNumberFormat="1" applyFont="1" applyFill="1" applyBorder="1" applyAlignment="1">
      <alignment horizontal="center" vertical="center"/>
    </xf>
    <xf numFmtId="167" fontId="3" fillId="8" borderId="0" xfId="2" applyNumberFormat="1" applyFont="1" applyFill="1" applyBorder="1" applyAlignment="1">
      <alignment horizontal="center" vertical="center"/>
    </xf>
    <xf numFmtId="0" fontId="0" fillId="0" borderId="32" xfId="0" applyBorder="1" applyAlignment="1">
      <alignment horizontal="left" indent="1"/>
    </xf>
    <xf numFmtId="0" fontId="0" fillId="5" borderId="32" xfId="0" applyFill="1" applyBorder="1" applyAlignment="1">
      <alignment horizontal="left" indent="1"/>
    </xf>
    <xf numFmtId="37" fontId="0" fillId="5" borderId="0" xfId="0" applyNumberFormat="1" applyFill="1" applyAlignment="1">
      <alignment horizontal="right" vertical="center"/>
    </xf>
    <xf numFmtId="167" fontId="0" fillId="5" borderId="25" xfId="2" applyNumberFormat="1" applyFont="1" applyFill="1" applyBorder="1" applyAlignment="1">
      <alignment horizontal="center" vertical="center"/>
    </xf>
    <xf numFmtId="167" fontId="0" fillId="5" borderId="0" xfId="2" applyNumberFormat="1" applyFont="1" applyFill="1" applyBorder="1" applyAlignment="1">
      <alignment horizontal="center" vertical="center"/>
    </xf>
    <xf numFmtId="0" fontId="2" fillId="9" borderId="47" xfId="0" applyFont="1" applyFill="1" applyBorder="1" applyAlignment="1">
      <alignment horizontal="center" vertical="center"/>
    </xf>
    <xf numFmtId="0" fontId="2" fillId="9" borderId="34" xfId="0" applyFont="1" applyFill="1" applyBorder="1" applyAlignment="1">
      <alignment horizontal="center" vertical="center"/>
    </xf>
    <xf numFmtId="0" fontId="2" fillId="9" borderId="48" xfId="0" applyFont="1" applyFill="1" applyBorder="1" applyAlignment="1">
      <alignment horizontal="center" vertical="center" wrapText="1"/>
    </xf>
    <xf numFmtId="0" fontId="2" fillId="9" borderId="54" xfId="0" applyFont="1" applyFill="1" applyBorder="1" applyAlignment="1">
      <alignment horizontal="center" vertical="center" wrapText="1"/>
    </xf>
    <xf numFmtId="0" fontId="3" fillId="0" borderId="56" xfId="0" applyFont="1" applyBorder="1"/>
    <xf numFmtId="168" fontId="0" fillId="0" borderId="56" xfId="0" applyNumberFormat="1" applyBorder="1" applyAlignment="1">
      <alignment horizontal="center" vertical="center"/>
    </xf>
    <xf numFmtId="168" fontId="0" fillId="0" borderId="57" xfId="0" applyNumberFormat="1" applyBorder="1" applyAlignment="1">
      <alignment horizontal="center" vertical="center"/>
    </xf>
    <xf numFmtId="0" fontId="3" fillId="0" borderId="59" xfId="0" applyFont="1" applyBorder="1"/>
    <xf numFmtId="168" fontId="0" fillId="0" borderId="59" xfId="0" applyNumberFormat="1" applyBorder="1" applyAlignment="1">
      <alignment horizontal="center" vertical="center"/>
    </xf>
    <xf numFmtId="168" fontId="0" fillId="0" borderId="60" xfId="0" applyNumberFormat="1" applyBorder="1" applyAlignment="1">
      <alignment horizontal="center" vertical="center"/>
    </xf>
    <xf numFmtId="168" fontId="0" fillId="3" borderId="62" xfId="0" applyNumberFormat="1" applyFill="1" applyBorder="1" applyAlignment="1">
      <alignment horizontal="center" vertical="center"/>
    </xf>
    <xf numFmtId="168" fontId="2" fillId="9" borderId="5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3" fillId="0" borderId="0" xfId="0" applyFont="1"/>
    <xf numFmtId="0" fontId="23" fillId="0" borderId="64" xfId="0" applyFont="1" applyBorder="1"/>
    <xf numFmtId="0" fontId="22" fillId="0" borderId="64" xfId="0" applyFont="1" applyBorder="1"/>
    <xf numFmtId="43" fontId="24" fillId="0" borderId="15" xfId="1" applyFont="1" applyBorder="1" applyAlignment="1">
      <alignment horizontal="center" vertical="center"/>
    </xf>
    <xf numFmtId="166" fontId="24" fillId="0" borderId="15" xfId="0" applyNumberFormat="1" applyFont="1" applyBorder="1" applyAlignment="1">
      <alignment horizontal="center" vertical="center"/>
    </xf>
    <xf numFmtId="2" fontId="24" fillId="0" borderId="15" xfId="0" applyNumberFormat="1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5" xfId="0" applyFont="1" applyBorder="1" applyAlignment="1">
      <alignment horizontal="left" indent="3"/>
    </xf>
    <xf numFmtId="166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indent="2"/>
    </xf>
    <xf numFmtId="0" fontId="24" fillId="0" borderId="0" xfId="0" applyFont="1" applyAlignment="1">
      <alignment horizontal="left" indent="1"/>
    </xf>
    <xf numFmtId="0" fontId="24" fillId="0" borderId="0" xfId="0" applyFont="1"/>
    <xf numFmtId="0" fontId="25" fillId="9" borderId="23" xfId="0" applyFont="1" applyFill="1" applyBorder="1" applyAlignment="1">
      <alignment horizontal="center" vertical="center"/>
    </xf>
    <xf numFmtId="0" fontId="25" fillId="9" borderId="22" xfId="0" applyFont="1" applyFill="1" applyBorder="1" applyAlignment="1">
      <alignment horizontal="center" vertical="center"/>
    </xf>
    <xf numFmtId="169" fontId="0" fillId="0" borderId="0" xfId="2" applyNumberFormat="1" applyFont="1"/>
    <xf numFmtId="49" fontId="27" fillId="0" borderId="0" xfId="0" applyNumberFormat="1" applyFont="1" applyAlignment="1">
      <alignment horizontal="left" vertical="center" wrapText="1"/>
    </xf>
    <xf numFmtId="49" fontId="27" fillId="0" borderId="0" xfId="0" applyNumberFormat="1" applyFont="1" applyAlignment="1">
      <alignment vertical="center" wrapText="1"/>
    </xf>
    <xf numFmtId="49" fontId="27" fillId="0" borderId="0" xfId="0" applyNumberFormat="1" applyFont="1" applyAlignment="1">
      <alignment vertical="center"/>
    </xf>
    <xf numFmtId="49" fontId="27" fillId="0" borderId="0" xfId="0" applyNumberFormat="1" applyFont="1" applyAlignment="1">
      <alignment horizontal="left" vertical="center"/>
    </xf>
    <xf numFmtId="167" fontId="28" fillId="10" borderId="68" xfId="2" applyNumberFormat="1" applyFont="1" applyFill="1" applyBorder="1" applyAlignment="1">
      <alignment horizontal="center" vertical="center" wrapText="1"/>
    </xf>
    <xf numFmtId="167" fontId="28" fillId="10" borderId="0" xfId="2" applyNumberFormat="1" applyFont="1" applyFill="1" applyBorder="1" applyAlignment="1">
      <alignment horizontal="center" vertical="center" wrapText="1"/>
    </xf>
    <xf numFmtId="167" fontId="28" fillId="10" borderId="69" xfId="2" applyNumberFormat="1" applyFont="1" applyFill="1" applyBorder="1" applyAlignment="1">
      <alignment horizontal="center" vertical="center" wrapText="1"/>
    </xf>
    <xf numFmtId="3" fontId="28" fillId="10" borderId="68" xfId="4" applyNumberFormat="1" applyFont="1" applyFill="1" applyBorder="1" applyAlignment="1">
      <alignment horizontal="center" vertical="center" wrapText="1"/>
    </xf>
    <xf numFmtId="0" fontId="28" fillId="10" borderId="70" xfId="4" applyFont="1" applyFill="1" applyBorder="1" applyAlignment="1">
      <alignment horizontal="left" vertical="center" wrapText="1"/>
    </xf>
    <xf numFmtId="167" fontId="30" fillId="0" borderId="71" xfId="2" applyNumberFormat="1" applyFont="1" applyBorder="1" applyAlignment="1">
      <alignment horizontal="center" vertical="center"/>
    </xf>
    <xf numFmtId="0" fontId="30" fillId="0" borderId="72" xfId="5" applyNumberFormat="1" applyFont="1" applyBorder="1" applyAlignment="1">
      <alignment horizontal="center" vertical="center"/>
    </xf>
    <xf numFmtId="167" fontId="30" fillId="0" borderId="0" xfId="2" applyNumberFormat="1" applyFont="1" applyBorder="1" applyAlignment="1">
      <alignment horizontal="center" vertical="center"/>
    </xf>
    <xf numFmtId="167" fontId="30" fillId="0" borderId="0" xfId="2" applyNumberFormat="1" applyFont="1" applyFill="1" applyBorder="1" applyAlignment="1">
      <alignment horizontal="center"/>
    </xf>
    <xf numFmtId="171" fontId="30" fillId="0" borderId="72" xfId="6" applyNumberFormat="1" applyFont="1" applyBorder="1" applyAlignment="1">
      <alignment horizontal="center" vertical="center"/>
    </xf>
    <xf numFmtId="169" fontId="30" fillId="0" borderId="72" xfId="6" applyNumberFormat="1" applyFont="1" applyBorder="1" applyAlignment="1">
      <alignment horizontal="center" vertical="center"/>
    </xf>
    <xf numFmtId="0" fontId="30" fillId="0" borderId="73" xfId="7" applyFont="1" applyBorder="1" applyAlignment="1">
      <alignment horizontal="left" vertical="center"/>
    </xf>
    <xf numFmtId="167" fontId="30" fillId="0" borderId="74" xfId="2" applyNumberFormat="1" applyFont="1" applyBorder="1" applyAlignment="1">
      <alignment horizontal="center" vertical="center"/>
    </xf>
    <xf numFmtId="169" fontId="30" fillId="0" borderId="0" xfId="6" applyNumberFormat="1" applyFont="1" applyFill="1" applyBorder="1" applyAlignment="1">
      <alignment horizontal="center" vertical="center"/>
    </xf>
    <xf numFmtId="0" fontId="30" fillId="0" borderId="70" xfId="7" applyFont="1" applyBorder="1" applyAlignment="1">
      <alignment horizontal="left" vertical="center"/>
    </xf>
    <xf numFmtId="171" fontId="30" fillId="0" borderId="0" xfId="6" applyNumberFormat="1" applyFont="1" applyFill="1" applyBorder="1" applyAlignment="1">
      <alignment horizontal="center" vertical="center"/>
    </xf>
    <xf numFmtId="167" fontId="30" fillId="0" borderId="0" xfId="2" applyNumberFormat="1" applyFont="1" applyFill="1" applyBorder="1" applyAlignment="1">
      <alignment horizontal="center" vertical="center"/>
    </xf>
    <xf numFmtId="3" fontId="0" fillId="0" borderId="0" xfId="0" applyNumberFormat="1"/>
    <xf numFmtId="167" fontId="30" fillId="0" borderId="0" xfId="2" applyNumberFormat="1" applyFont="1" applyBorder="1" applyAlignment="1">
      <alignment horizontal="center"/>
    </xf>
    <xf numFmtId="169" fontId="30" fillId="0" borderId="0" xfId="6" applyNumberFormat="1" applyFont="1" applyBorder="1" applyAlignment="1">
      <alignment horizontal="center" vertical="center"/>
    </xf>
    <xf numFmtId="167" fontId="31" fillId="11" borderId="75" xfId="2" applyNumberFormat="1" applyFont="1" applyFill="1" applyBorder="1" applyAlignment="1">
      <alignment horizontal="center" vertical="center"/>
    </xf>
    <xf numFmtId="167" fontId="31" fillId="11" borderId="76" xfId="2" applyNumberFormat="1" applyFont="1" applyFill="1" applyBorder="1" applyAlignment="1">
      <alignment horizontal="center" vertical="center"/>
    </xf>
    <xf numFmtId="3" fontId="31" fillId="11" borderId="76" xfId="8" applyNumberFormat="1" applyFont="1" applyFill="1" applyBorder="1" applyAlignment="1">
      <alignment horizontal="center" vertical="center"/>
    </xf>
    <xf numFmtId="0" fontId="31" fillId="11" borderId="77" xfId="8" applyFont="1" applyFill="1" applyBorder="1" applyAlignment="1">
      <alignment horizontal="left"/>
    </xf>
    <xf numFmtId="171" fontId="30" fillId="0" borderId="0" xfId="6" applyNumberFormat="1" applyFont="1" applyBorder="1" applyAlignment="1">
      <alignment horizontal="center" vertical="center"/>
    </xf>
    <xf numFmtId="0" fontId="30" fillId="0" borderId="70" xfId="7" applyFont="1" applyBorder="1" applyAlignment="1">
      <alignment horizontal="left" vertical="center" wrapText="1"/>
    </xf>
    <xf numFmtId="167" fontId="30" fillId="0" borderId="78" xfId="2" applyNumberFormat="1" applyFont="1" applyBorder="1" applyAlignment="1">
      <alignment horizontal="center" vertical="center"/>
    </xf>
    <xf numFmtId="169" fontId="30" fillId="0" borderId="78" xfId="6" applyNumberFormat="1" applyFont="1" applyBorder="1" applyAlignment="1">
      <alignment horizontal="center" vertical="center"/>
    </xf>
    <xf numFmtId="167" fontId="31" fillId="11" borderId="79" xfId="2" applyNumberFormat="1" applyFont="1" applyFill="1" applyBorder="1" applyAlignment="1">
      <alignment horizontal="center" vertical="center"/>
    </xf>
    <xf numFmtId="167" fontId="31" fillId="11" borderId="0" xfId="2" applyNumberFormat="1" applyFont="1" applyFill="1" applyBorder="1" applyAlignment="1">
      <alignment horizontal="center" vertical="center"/>
    </xf>
    <xf numFmtId="167" fontId="31" fillId="11" borderId="80" xfId="2" applyNumberFormat="1" applyFont="1" applyFill="1" applyBorder="1" applyAlignment="1">
      <alignment horizontal="center" vertical="center"/>
    </xf>
    <xf numFmtId="3" fontId="31" fillId="11" borderId="80" xfId="8" applyNumberFormat="1" applyFont="1" applyFill="1" applyBorder="1" applyAlignment="1">
      <alignment horizontal="center" vertical="center"/>
    </xf>
    <xf numFmtId="0" fontId="31" fillId="11" borderId="81" xfId="8" applyFont="1" applyFill="1" applyBorder="1" applyAlignment="1">
      <alignment horizontal="left"/>
    </xf>
    <xf numFmtId="0" fontId="32" fillId="10" borderId="71" xfId="4" applyFont="1" applyFill="1" applyBorder="1" applyAlignment="1">
      <alignment horizontal="center" vertical="center" wrapText="1"/>
    </xf>
    <xf numFmtId="0" fontId="32" fillId="10" borderId="82" xfId="4" applyFont="1" applyFill="1" applyBorder="1" applyAlignment="1">
      <alignment horizontal="center" vertical="center" wrapText="1"/>
    </xf>
    <xf numFmtId="0" fontId="32" fillId="10" borderId="72" xfId="4" applyFont="1" applyFill="1" applyBorder="1" applyAlignment="1">
      <alignment horizontal="center" vertical="center" wrapText="1"/>
    </xf>
    <xf numFmtId="0" fontId="32" fillId="10" borderId="83" xfId="4" applyFont="1" applyFill="1" applyBorder="1" applyAlignment="1">
      <alignment horizontal="center" vertical="center" wrapText="1"/>
    </xf>
    <xf numFmtId="0" fontId="32" fillId="10" borderId="84" xfId="4" applyFont="1" applyFill="1" applyBorder="1" applyAlignment="1">
      <alignment horizontal="center" vertical="center" wrapText="1"/>
    </xf>
    <xf numFmtId="0" fontId="32" fillId="10" borderId="85" xfId="4" applyFont="1" applyFill="1" applyBorder="1" applyAlignment="1">
      <alignment horizontal="center" vertical="center" wrapText="1"/>
    </xf>
    <xf numFmtId="0" fontId="32" fillId="10" borderId="86" xfId="4" applyFont="1" applyFill="1" applyBorder="1" applyAlignment="1">
      <alignment horizontal="center" vertical="center" wrapText="1"/>
    </xf>
    <xf numFmtId="169" fontId="34" fillId="12" borderId="54" xfId="6" applyNumberFormat="1" applyFont="1" applyFill="1" applyBorder="1" applyAlignment="1">
      <alignment horizontal="center" vertical="center"/>
    </xf>
    <xf numFmtId="0" fontId="3" fillId="12" borderId="33" xfId="0" applyFont="1" applyFill="1" applyBorder="1"/>
    <xf numFmtId="0" fontId="19" fillId="0" borderId="0" xfId="4" applyFont="1" applyAlignment="1">
      <alignment horizontal="left" indent="1"/>
    </xf>
    <xf numFmtId="172" fontId="35" fillId="6" borderId="88" xfId="0" applyNumberFormat="1" applyFont="1" applyFill="1" applyBorder="1" applyAlignment="1">
      <alignment horizontal="center"/>
    </xf>
    <xf numFmtId="3" fontId="35" fillId="6" borderId="88" xfId="0" applyNumberFormat="1" applyFont="1" applyFill="1" applyBorder="1" applyAlignment="1">
      <alignment horizontal="center"/>
    </xf>
    <xf numFmtId="0" fontId="35" fillId="10" borderId="0" xfId="0" applyFont="1" applyFill="1" applyAlignment="1">
      <alignment horizontal="left" indent="1"/>
    </xf>
    <xf numFmtId="167" fontId="0" fillId="0" borderId="0" xfId="2" applyNumberFormat="1" applyFont="1"/>
    <xf numFmtId="173" fontId="36" fillId="0" borderId="89" xfId="0" applyNumberFormat="1" applyFont="1" applyBorder="1" applyAlignment="1">
      <alignment horizontal="center"/>
    </xf>
    <xf numFmtId="3" fontId="36" fillId="0" borderId="89" xfId="0" applyNumberFormat="1" applyFont="1" applyBorder="1" applyAlignment="1">
      <alignment horizontal="center"/>
    </xf>
    <xf numFmtId="0" fontId="36" fillId="0" borderId="89" xfId="0" applyFont="1" applyBorder="1" applyAlignment="1">
      <alignment horizontal="left"/>
    </xf>
    <xf numFmtId="173" fontId="37" fillId="0" borderId="0" xfId="0" applyNumberFormat="1" applyFont="1" applyAlignment="1">
      <alignment horizontal="center"/>
    </xf>
    <xf numFmtId="3" fontId="37" fillId="0" borderId="0" xfId="0" applyNumberFormat="1" applyFont="1" applyAlignment="1">
      <alignment horizontal="center"/>
    </xf>
    <xf numFmtId="0" fontId="37" fillId="0" borderId="0" xfId="0" applyFont="1" applyAlignment="1">
      <alignment horizontal="left" indent="1"/>
    </xf>
    <xf numFmtId="172" fontId="37" fillId="0" borderId="0" xfId="0" applyNumberFormat="1" applyFont="1" applyAlignment="1">
      <alignment horizontal="center"/>
    </xf>
    <xf numFmtId="172" fontId="36" fillId="0" borderId="89" xfId="0" applyNumberFormat="1" applyFont="1" applyBorder="1" applyAlignment="1">
      <alignment horizontal="center"/>
    </xf>
    <xf numFmtId="0" fontId="38" fillId="6" borderId="42" xfId="4" applyFont="1" applyFill="1" applyBorder="1" applyAlignment="1">
      <alignment horizontal="center" vertical="center" wrapText="1"/>
    </xf>
    <xf numFmtId="0" fontId="35" fillId="6" borderId="27" xfId="4" applyFont="1" applyFill="1" applyBorder="1" applyAlignment="1">
      <alignment horizontal="center" vertical="center" wrapText="1"/>
    </xf>
    <xf numFmtId="0" fontId="39" fillId="0" borderId="0" xfId="4" applyFont="1" applyAlignment="1">
      <alignment horizontal="left" indent="1"/>
    </xf>
    <xf numFmtId="0" fontId="40" fillId="0" borderId="0" xfId="0" applyFont="1"/>
    <xf numFmtId="3" fontId="41" fillId="13" borderId="27" xfId="9" applyNumberFormat="1" applyFont="1" applyFill="1" applyBorder="1" applyAlignment="1">
      <alignment horizontal="center" vertical="center"/>
    </xf>
    <xf numFmtId="0" fontId="41" fillId="13" borderId="27" xfId="4" applyFont="1" applyFill="1" applyBorder="1" applyAlignment="1">
      <alignment horizontal="left" vertical="center"/>
    </xf>
    <xf numFmtId="3" fontId="42" fillId="0" borderId="0" xfId="1" applyNumberFormat="1" applyFont="1" applyAlignment="1">
      <alignment horizontal="center" vertical="center"/>
    </xf>
    <xf numFmtId="0" fontId="42" fillId="0" borderId="0" xfId="0" applyFont="1" applyAlignment="1">
      <alignment horizontal="left"/>
    </xf>
    <xf numFmtId="3" fontId="40" fillId="0" borderId="0" xfId="1" applyNumberFormat="1" applyFont="1" applyAlignment="1">
      <alignment horizontal="center" vertical="center"/>
    </xf>
    <xf numFmtId="0" fontId="40" fillId="0" borderId="0" xfId="0" applyFont="1" applyAlignment="1">
      <alignment horizontal="left" indent="2"/>
    </xf>
    <xf numFmtId="0" fontId="40" fillId="0" borderId="0" xfId="0" applyFont="1" applyAlignment="1">
      <alignment horizontal="left" wrapText="1" indent="2"/>
    </xf>
    <xf numFmtId="3" fontId="42" fillId="0" borderId="90" xfId="10" applyNumberFormat="1" applyFont="1" applyFill="1" applyBorder="1" applyAlignment="1">
      <alignment horizontal="center" vertical="center"/>
    </xf>
    <xf numFmtId="175" fontId="42" fillId="0" borderId="90" xfId="10" applyNumberFormat="1" applyFont="1" applyFill="1" applyBorder="1" applyAlignment="1">
      <alignment horizontal="left"/>
    </xf>
    <xf numFmtId="3" fontId="40" fillId="0" borderId="0" xfId="0" applyNumberFormat="1" applyFont="1" applyAlignment="1">
      <alignment horizontal="center" vertical="center"/>
    </xf>
    <xf numFmtId="0" fontId="40" fillId="3" borderId="0" xfId="0" applyFont="1" applyFill="1"/>
    <xf numFmtId="0" fontId="42" fillId="3" borderId="0" xfId="0" applyFont="1" applyFill="1"/>
    <xf numFmtId="0" fontId="41" fillId="13" borderId="23" xfId="4" applyFont="1" applyFill="1" applyBorder="1" applyAlignment="1">
      <alignment horizontal="center" vertical="center" wrapText="1"/>
    </xf>
    <xf numFmtId="167" fontId="28" fillId="10" borderId="83" xfId="2" applyNumberFormat="1" applyFont="1" applyFill="1" applyBorder="1" applyAlignment="1">
      <alignment horizontal="center" vertical="center" wrapText="1"/>
    </xf>
    <xf numFmtId="167" fontId="28" fillId="10" borderId="84" xfId="2" applyNumberFormat="1" applyFont="1" applyFill="1" applyBorder="1" applyAlignment="1">
      <alignment horizontal="center" vertical="center" wrapText="1"/>
    </xf>
    <xf numFmtId="167" fontId="28" fillId="10" borderId="73" xfId="2" applyNumberFormat="1" applyFont="1" applyFill="1" applyBorder="1" applyAlignment="1">
      <alignment horizontal="center" vertical="center" wrapText="1"/>
    </xf>
    <xf numFmtId="167" fontId="28" fillId="10" borderId="72" xfId="2" applyNumberFormat="1" applyFont="1" applyFill="1" applyBorder="1" applyAlignment="1">
      <alignment horizontal="center" vertical="center" wrapText="1"/>
    </xf>
    <xf numFmtId="3" fontId="28" fillId="10" borderId="85" xfId="4" applyNumberFormat="1" applyFont="1" applyFill="1" applyBorder="1" applyAlignment="1">
      <alignment horizontal="center" vertical="center" wrapText="1"/>
    </xf>
    <xf numFmtId="0" fontId="28" fillId="10" borderId="86" xfId="4" applyFont="1" applyFill="1" applyBorder="1" applyAlignment="1">
      <alignment horizontal="left" vertical="center" wrapText="1"/>
    </xf>
    <xf numFmtId="167" fontId="44" fillId="0" borderId="74" xfId="2" applyNumberFormat="1" applyFont="1" applyFill="1" applyBorder="1" applyAlignment="1">
      <alignment horizontal="center" vertical="center"/>
    </xf>
    <xf numFmtId="167" fontId="44" fillId="0" borderId="0" xfId="2" applyNumberFormat="1" applyFont="1" applyFill="1" applyBorder="1" applyAlignment="1">
      <alignment horizontal="center" vertical="center"/>
    </xf>
    <xf numFmtId="3" fontId="44" fillId="0" borderId="0" xfId="6" applyNumberFormat="1" applyFont="1" applyFill="1" applyBorder="1" applyAlignment="1">
      <alignment horizontal="center" vertical="center"/>
    </xf>
    <xf numFmtId="0" fontId="44" fillId="0" borderId="91" xfId="0" applyFont="1" applyBorder="1" applyAlignment="1">
      <alignment horizontal="left" wrapText="1" indent="1"/>
    </xf>
    <xf numFmtId="0" fontId="44" fillId="0" borderId="92" xfId="0" applyFont="1" applyBorder="1" applyAlignment="1">
      <alignment horizontal="left" wrapText="1" indent="1"/>
    </xf>
    <xf numFmtId="0" fontId="31" fillId="11" borderId="77" xfId="8" applyFont="1" applyFill="1" applyBorder="1" applyAlignment="1">
      <alignment horizontal="left" wrapText="1"/>
    </xf>
    <xf numFmtId="167" fontId="44" fillId="0" borderId="0" xfId="2" applyNumberFormat="1" applyFont="1" applyBorder="1" applyAlignment="1">
      <alignment horizontal="center" vertical="center"/>
    </xf>
    <xf numFmtId="3" fontId="44" fillId="0" borderId="0" xfId="6" applyNumberFormat="1" applyFont="1" applyBorder="1" applyAlignment="1">
      <alignment horizontal="center" vertical="center"/>
    </xf>
    <xf numFmtId="0" fontId="44" fillId="0" borderId="93" xfId="0" applyFont="1" applyBorder="1" applyAlignment="1">
      <alignment horizontal="left" wrapText="1" indent="1"/>
    </xf>
    <xf numFmtId="167" fontId="44" fillId="0" borderId="74" xfId="2" applyNumberFormat="1" applyFont="1" applyFill="1" applyBorder="1" applyAlignment="1">
      <alignment horizontal="center"/>
    </xf>
    <xf numFmtId="167" fontId="44" fillId="0" borderId="0" xfId="2" applyNumberFormat="1" applyFont="1" applyFill="1" applyBorder="1" applyAlignment="1">
      <alignment horizontal="center"/>
    </xf>
    <xf numFmtId="167" fontId="44" fillId="0" borderId="0" xfId="2" applyNumberFormat="1" applyFont="1" applyBorder="1" applyAlignment="1">
      <alignment horizontal="center"/>
    </xf>
    <xf numFmtId="3" fontId="44" fillId="0" borderId="0" xfId="6" applyNumberFormat="1" applyFont="1" applyBorder="1" applyAlignment="1">
      <alignment horizontal="center"/>
    </xf>
    <xf numFmtId="0" fontId="44" fillId="0" borderId="70" xfId="0" applyFont="1" applyBorder="1" applyAlignment="1">
      <alignment horizontal="left" wrapText="1" indent="1"/>
    </xf>
    <xf numFmtId="0" fontId="44" fillId="0" borderId="91" xfId="0" applyFont="1" applyBorder="1" applyAlignment="1">
      <alignment horizontal="left" vertical="center" wrapText="1" indent="1"/>
    </xf>
    <xf numFmtId="0" fontId="44" fillId="0" borderId="93" xfId="0" applyFont="1" applyBorder="1" applyAlignment="1">
      <alignment horizontal="left" vertical="center" wrapText="1" indent="1"/>
    </xf>
    <xf numFmtId="10" fontId="0" fillId="0" borderId="0" xfId="2" applyNumberFormat="1" applyFont="1"/>
    <xf numFmtId="0" fontId="44" fillId="0" borderId="92" xfId="0" applyFont="1" applyBorder="1" applyAlignment="1">
      <alignment horizontal="left" vertical="center" wrapText="1" indent="1"/>
    </xf>
    <xf numFmtId="0" fontId="31" fillId="11" borderId="94" xfId="8" applyFont="1" applyFill="1" applyBorder="1" applyAlignment="1">
      <alignment horizontal="left" wrapText="1"/>
    </xf>
    <xf numFmtId="167" fontId="45" fillId="10" borderId="83" xfId="2" applyNumberFormat="1" applyFont="1" applyFill="1" applyBorder="1" applyAlignment="1">
      <alignment horizontal="center" vertical="center" wrapText="1"/>
    </xf>
    <xf numFmtId="167" fontId="45" fillId="10" borderId="85" xfId="2" applyNumberFormat="1" applyFont="1" applyFill="1" applyBorder="1" applyAlignment="1">
      <alignment horizontal="center" vertical="center" wrapText="1"/>
    </xf>
    <xf numFmtId="3" fontId="45" fillId="10" borderId="85" xfId="4" applyNumberFormat="1" applyFont="1" applyFill="1" applyBorder="1" applyAlignment="1">
      <alignment horizontal="center" vertical="center" wrapText="1"/>
    </xf>
    <xf numFmtId="0" fontId="45" fillId="10" borderId="86" xfId="4" applyFont="1" applyFill="1" applyBorder="1" applyAlignment="1">
      <alignment horizontal="left" vertical="center" wrapText="1"/>
    </xf>
    <xf numFmtId="167" fontId="44" fillId="0" borderId="74" xfId="2" applyNumberFormat="1" applyFont="1" applyBorder="1" applyAlignment="1">
      <alignment horizontal="center"/>
    </xf>
    <xf numFmtId="169" fontId="44" fillId="0" borderId="0" xfId="6" applyNumberFormat="1" applyFont="1" applyBorder="1" applyAlignment="1">
      <alignment horizontal="center"/>
    </xf>
    <xf numFmtId="0" fontId="44" fillId="0" borderId="70" xfId="0" applyFont="1" applyBorder="1" applyAlignment="1">
      <alignment horizontal="left" indent="1"/>
    </xf>
    <xf numFmtId="0" fontId="31" fillId="11" borderId="76" xfId="8" applyFont="1" applyFill="1" applyBorder="1" applyAlignment="1">
      <alignment horizontal="left"/>
    </xf>
    <xf numFmtId="169" fontId="0" fillId="0" borderId="0" xfId="0" applyNumberFormat="1"/>
    <xf numFmtId="169" fontId="0" fillId="0" borderId="0" xfId="1" applyNumberFormat="1" applyFont="1"/>
    <xf numFmtId="0" fontId="31" fillId="11" borderId="94" xfId="8" applyFont="1" applyFill="1" applyBorder="1" applyAlignment="1">
      <alignment horizontal="left"/>
    </xf>
    <xf numFmtId="167" fontId="45" fillId="10" borderId="84" xfId="2" applyNumberFormat="1" applyFont="1" applyFill="1" applyBorder="1" applyAlignment="1">
      <alignment horizontal="center" vertical="center" wrapText="1"/>
    </xf>
    <xf numFmtId="167" fontId="31" fillId="0" borderId="74" xfId="2" applyNumberFormat="1" applyFont="1" applyFill="1" applyBorder="1" applyAlignment="1">
      <alignment horizontal="center"/>
    </xf>
    <xf numFmtId="167" fontId="44" fillId="0" borderId="82" xfId="2" applyNumberFormat="1" applyFont="1" applyFill="1" applyBorder="1" applyAlignment="1">
      <alignment horizontal="center"/>
    </xf>
    <xf numFmtId="169" fontId="44" fillId="0" borderId="82" xfId="5" applyNumberFormat="1" applyFont="1" applyFill="1" applyBorder="1" applyAlignment="1">
      <alignment horizontal="center" vertical="center"/>
    </xf>
    <xf numFmtId="0" fontId="44" fillId="0" borderId="70" xfId="11" applyFont="1" applyBorder="1" applyAlignment="1">
      <alignment horizontal="left" indent="1"/>
    </xf>
    <xf numFmtId="167" fontId="44" fillId="0" borderId="87" xfId="2" applyNumberFormat="1" applyFont="1" applyFill="1" applyBorder="1" applyAlignment="1">
      <alignment horizontal="center"/>
    </xf>
    <xf numFmtId="169" fontId="44" fillId="0" borderId="87" xfId="5" applyNumberFormat="1" applyFont="1" applyFill="1" applyBorder="1" applyAlignment="1">
      <alignment horizontal="center" vertical="center"/>
    </xf>
    <xf numFmtId="0" fontId="44" fillId="0" borderId="70" xfId="11" applyFont="1" applyBorder="1" applyAlignment="1">
      <alignment horizontal="left" wrapText="1" indent="1"/>
    </xf>
    <xf numFmtId="167" fontId="31" fillId="11" borderId="83" xfId="2" applyNumberFormat="1" applyFont="1" applyFill="1" applyBorder="1" applyAlignment="1">
      <alignment horizontal="center" vertical="center"/>
    </xf>
    <xf numFmtId="167" fontId="31" fillId="11" borderId="84" xfId="2" applyNumberFormat="1" applyFont="1" applyFill="1" applyBorder="1" applyAlignment="1">
      <alignment horizontal="center" vertical="center"/>
    </xf>
    <xf numFmtId="3" fontId="31" fillId="11" borderId="84" xfId="8" applyNumberFormat="1" applyFont="1" applyFill="1" applyBorder="1" applyAlignment="1">
      <alignment horizontal="center" vertical="center"/>
    </xf>
    <xf numFmtId="0" fontId="31" fillId="11" borderId="86" xfId="8" applyFont="1" applyFill="1" applyBorder="1" applyAlignment="1">
      <alignment horizontal="left"/>
    </xf>
    <xf numFmtId="167" fontId="44" fillId="0" borderId="87" xfId="2" applyNumberFormat="1" applyFont="1" applyFill="1" applyBorder="1" applyAlignment="1">
      <alignment horizontal="center" vertical="center"/>
    </xf>
    <xf numFmtId="176" fontId="31" fillId="0" borderId="74" xfId="5" applyNumberFormat="1" applyFont="1" applyFill="1" applyBorder="1" applyAlignment="1">
      <alignment horizontal="center"/>
    </xf>
    <xf numFmtId="167" fontId="31" fillId="0" borderId="87" xfId="2" applyNumberFormat="1" applyFont="1" applyFill="1" applyBorder="1" applyAlignment="1">
      <alignment horizontal="center"/>
    </xf>
    <xf numFmtId="169" fontId="31" fillId="0" borderId="87" xfId="5" applyNumberFormat="1" applyFont="1" applyFill="1" applyBorder="1" applyAlignment="1">
      <alignment horizontal="center" vertical="center"/>
    </xf>
    <xf numFmtId="0" fontId="31" fillId="0" borderId="70" xfId="11" applyFont="1" applyBorder="1"/>
    <xf numFmtId="3" fontId="45" fillId="10" borderId="84" xfId="4" applyNumberFormat="1" applyFont="1" applyFill="1" applyBorder="1" applyAlignment="1">
      <alignment horizontal="center" vertical="center" wrapText="1"/>
    </xf>
    <xf numFmtId="167" fontId="31" fillId="0" borderId="87" xfId="2" applyNumberFormat="1" applyFont="1" applyFill="1" applyBorder="1" applyAlignment="1">
      <alignment horizontal="center" vertical="center"/>
    </xf>
    <xf numFmtId="0" fontId="31" fillId="0" borderId="70" xfId="11" applyFont="1" applyBorder="1" applyAlignment="1">
      <alignment horizontal="left"/>
    </xf>
    <xf numFmtId="43" fontId="31" fillId="0" borderId="87" xfId="5" applyNumberFormat="1" applyFont="1" applyFill="1" applyBorder="1" applyAlignment="1">
      <alignment horizontal="center" vertical="center"/>
    </xf>
    <xf numFmtId="0" fontId="47" fillId="0" borderId="70" xfId="11" applyFont="1" applyBorder="1" applyAlignment="1">
      <alignment horizontal="left" indent="2"/>
    </xf>
    <xf numFmtId="49" fontId="48" fillId="10" borderId="27" xfId="8" applyNumberFormat="1" applyFont="1" applyFill="1" applyBorder="1" applyAlignment="1">
      <alignment horizontal="center" vertical="center" wrapText="1"/>
    </xf>
    <xf numFmtId="0" fontId="3" fillId="0" borderId="0" xfId="0" applyFont="1"/>
    <xf numFmtId="0" fontId="49" fillId="0" borderId="0" xfId="0" applyFont="1"/>
    <xf numFmtId="167" fontId="0" fillId="0" borderId="97" xfId="2" applyNumberFormat="1" applyFont="1" applyBorder="1" applyAlignment="1">
      <alignment horizontal="center" vertical="center"/>
    </xf>
    <xf numFmtId="167" fontId="0" fillId="0" borderId="51" xfId="2" applyNumberFormat="1" applyFont="1" applyBorder="1" applyAlignment="1">
      <alignment horizontal="center" vertical="center"/>
    </xf>
    <xf numFmtId="167" fontId="0" fillId="0" borderId="51" xfId="2" applyNumberFormat="1" applyFont="1" applyBorder="1" applyAlignment="1">
      <alignment horizontal="center"/>
    </xf>
    <xf numFmtId="0" fontId="3" fillId="0" borderId="49" xfId="0" applyFont="1" applyBorder="1"/>
    <xf numFmtId="167" fontId="0" fillId="0" borderId="0" xfId="2" applyNumberFormat="1" applyFont="1" applyBorder="1" applyAlignment="1">
      <alignment horizontal="center"/>
    </xf>
    <xf numFmtId="0" fontId="3" fillId="0" borderId="32" xfId="0" applyFont="1" applyBorder="1"/>
    <xf numFmtId="166" fontId="0" fillId="0" borderId="25" xfId="0" applyNumberForma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7" fontId="0" fillId="0" borderId="0" xfId="2" applyNumberFormat="1" applyFont="1" applyAlignment="1">
      <alignment horizontal="center"/>
    </xf>
    <xf numFmtId="0" fontId="3" fillId="0" borderId="61" xfId="0" applyFont="1" applyBorder="1" applyAlignment="1">
      <alignment horizontal="center"/>
    </xf>
    <xf numFmtId="0" fontId="3" fillId="0" borderId="98" xfId="0" applyFont="1" applyBorder="1" applyAlignment="1">
      <alignment horizontal="center"/>
    </xf>
    <xf numFmtId="0" fontId="3" fillId="0" borderId="47" xfId="0" applyFont="1" applyBorder="1"/>
    <xf numFmtId="167" fontId="0" fillId="0" borderId="0" xfId="2" applyNumberFormat="1" applyFont="1" applyAlignment="1">
      <alignment horizontal="center" vertical="center"/>
    </xf>
    <xf numFmtId="10" fontId="0" fillId="0" borderId="0" xfId="2" applyNumberFormat="1" applyFont="1" applyAlignment="1">
      <alignment horizontal="center" vertical="center"/>
    </xf>
    <xf numFmtId="10" fontId="0" fillId="0" borderId="0" xfId="2" applyNumberFormat="1" applyFont="1" applyAlignment="1">
      <alignment horizontal="center"/>
    </xf>
    <xf numFmtId="177" fontId="50" fillId="0" borderId="0" xfId="2" applyNumberFormat="1" applyFont="1"/>
    <xf numFmtId="0" fontId="52" fillId="0" borderId="0" xfId="0" applyFont="1"/>
    <xf numFmtId="0" fontId="0" fillId="0" borderId="0" xfId="0" applyAlignment="1">
      <alignment horizontal="left" indent="1"/>
    </xf>
    <xf numFmtId="0" fontId="52" fillId="0" borderId="0" xfId="0" applyFont="1" applyAlignment="1">
      <alignment horizontal="left" indent="1"/>
    </xf>
    <xf numFmtId="0" fontId="50" fillId="0" borderId="0" xfId="0" applyFont="1"/>
    <xf numFmtId="166" fontId="53" fillId="14" borderId="99" xfId="0" applyNumberFormat="1" applyFont="1" applyFill="1" applyBorder="1"/>
    <xf numFmtId="166" fontId="53" fillId="14" borderId="100" xfId="0" applyNumberFormat="1" applyFont="1" applyFill="1" applyBorder="1"/>
    <xf numFmtId="166" fontId="53" fillId="14" borderId="101" xfId="0" applyNumberFormat="1" applyFont="1" applyFill="1" applyBorder="1"/>
    <xf numFmtId="166" fontId="53" fillId="0" borderId="101" xfId="0" applyNumberFormat="1" applyFont="1" applyBorder="1"/>
    <xf numFmtId="166" fontId="53" fillId="5" borderId="101" xfId="0" applyNumberFormat="1" applyFont="1" applyFill="1" applyBorder="1"/>
    <xf numFmtId="0" fontId="50" fillId="5" borderId="102" xfId="0" applyFont="1" applyFill="1" applyBorder="1"/>
    <xf numFmtId="166" fontId="50" fillId="14" borderId="103" xfId="0" applyNumberFormat="1" applyFont="1" applyFill="1" applyBorder="1"/>
    <xf numFmtId="166" fontId="50" fillId="14" borderId="2" xfId="0" applyNumberFormat="1" applyFont="1" applyFill="1" applyBorder="1"/>
    <xf numFmtId="166" fontId="50" fillId="14" borderId="4" xfId="0" applyNumberFormat="1" applyFont="1" applyFill="1" applyBorder="1"/>
    <xf numFmtId="166" fontId="50" fillId="0" borderId="4" xfId="0" applyNumberFormat="1" applyFont="1" applyBorder="1"/>
    <xf numFmtId="166" fontId="53" fillId="5" borderId="4" xfId="0" applyNumberFormat="1" applyFont="1" applyFill="1" applyBorder="1"/>
    <xf numFmtId="0" fontId="50" fillId="5" borderId="104" xfId="0" applyFont="1" applyFill="1" applyBorder="1"/>
    <xf numFmtId="166" fontId="50" fillId="5" borderId="4" xfId="0" applyNumberFormat="1" applyFont="1" applyFill="1" applyBorder="1"/>
    <xf numFmtId="164" fontId="53" fillId="14" borderId="103" xfId="0" applyNumberFormat="1" applyFont="1" applyFill="1" applyBorder="1"/>
    <xf numFmtId="164" fontId="53" fillId="14" borderId="2" xfId="0" applyNumberFormat="1" applyFont="1" applyFill="1" applyBorder="1"/>
    <xf numFmtId="164" fontId="53" fillId="14" borderId="4" xfId="0" applyNumberFormat="1" applyFont="1" applyFill="1" applyBorder="1"/>
    <xf numFmtId="164" fontId="53" fillId="0" borderId="4" xfId="0" applyNumberFormat="1" applyFont="1" applyBorder="1"/>
    <xf numFmtId="171" fontId="50" fillId="3" borderId="105" xfId="0" applyNumberFormat="1" applyFont="1" applyFill="1" applyBorder="1" applyAlignment="1">
      <alignment horizontal="right"/>
    </xf>
    <xf numFmtId="171" fontId="50" fillId="3" borderId="106" xfId="0" applyNumberFormat="1" applyFont="1" applyFill="1" applyBorder="1" applyAlignment="1">
      <alignment horizontal="right"/>
    </xf>
    <xf numFmtId="171" fontId="50" fillId="3" borderId="107" xfId="0" applyNumberFormat="1" applyFont="1" applyFill="1" applyBorder="1" applyAlignment="1">
      <alignment horizontal="right"/>
    </xf>
    <xf numFmtId="171" fontId="50" fillId="0" borderId="107" xfId="0" applyNumberFormat="1" applyFont="1" applyBorder="1" applyAlignment="1">
      <alignment horizontal="right"/>
    </xf>
    <xf numFmtId="166" fontId="53" fillId="0" borderId="107" xfId="0" applyNumberFormat="1" applyFont="1" applyBorder="1"/>
    <xf numFmtId="0" fontId="50" fillId="5" borderId="108" xfId="0" applyFont="1" applyFill="1" applyBorder="1"/>
    <xf numFmtId="0" fontId="54" fillId="0" borderId="0" xfId="0" applyFont="1"/>
    <xf numFmtId="171" fontId="53" fillId="3" borderId="97" xfId="1" applyNumberFormat="1" applyFont="1" applyFill="1" applyBorder="1"/>
    <xf numFmtId="171" fontId="53" fillId="3" borderId="101" xfId="1" applyNumberFormat="1" applyFont="1" applyFill="1" applyBorder="1"/>
    <xf numFmtId="171" fontId="53" fillId="0" borderId="101" xfId="1" applyNumberFormat="1" applyFont="1" applyFill="1" applyBorder="1"/>
    <xf numFmtId="171" fontId="53" fillId="0" borderId="101" xfId="1" applyNumberFormat="1" applyFont="1" applyBorder="1"/>
    <xf numFmtId="0" fontId="53" fillId="5" borderId="102" xfId="0" applyFont="1" applyFill="1" applyBorder="1" applyAlignment="1">
      <alignment horizontal="left" indent="1"/>
    </xf>
    <xf numFmtId="171" fontId="50" fillId="3" borderId="25" xfId="0" quotePrefix="1" applyNumberFormat="1" applyFont="1" applyFill="1" applyBorder="1" applyAlignment="1">
      <alignment horizontal="right"/>
    </xf>
    <xf numFmtId="171" fontId="50" fillId="3" borderId="4" xfId="0" quotePrefix="1" applyNumberFormat="1" applyFont="1" applyFill="1" applyBorder="1" applyAlignment="1">
      <alignment horizontal="right"/>
    </xf>
    <xf numFmtId="171" fontId="50" fillId="3" borderId="4" xfId="0" applyNumberFormat="1" applyFont="1" applyFill="1" applyBorder="1"/>
    <xf numFmtId="171" fontId="50" fillId="0" borderId="4" xfId="0" applyNumberFormat="1" applyFont="1" applyBorder="1"/>
    <xf numFmtId="0" fontId="53" fillId="5" borderId="104" xfId="0" applyFont="1" applyFill="1" applyBorder="1"/>
    <xf numFmtId="171" fontId="50" fillId="3" borderId="25" xfId="0" applyNumberFormat="1" applyFont="1" applyFill="1" applyBorder="1"/>
    <xf numFmtId="171" fontId="50" fillId="0" borderId="4" xfId="0" applyNumberFormat="1" applyFont="1" applyBorder="1" applyAlignment="1">
      <alignment horizontal="right"/>
    </xf>
    <xf numFmtId="171" fontId="50" fillId="0" borderId="5" xfId="0" quotePrefix="1" applyNumberFormat="1" applyFont="1" applyBorder="1" applyAlignment="1">
      <alignment horizontal="right"/>
    </xf>
    <xf numFmtId="171" fontId="50" fillId="3" borderId="5" xfId="0" quotePrefix="1" applyNumberFormat="1" applyFont="1" applyFill="1" applyBorder="1" applyAlignment="1">
      <alignment horizontal="right"/>
    </xf>
    <xf numFmtId="171" fontId="50" fillId="3" borderId="25" xfId="0" applyNumberFormat="1" applyFont="1" applyFill="1" applyBorder="1" applyAlignment="1">
      <alignment horizontal="right"/>
    </xf>
    <xf numFmtId="171" fontId="50" fillId="3" borderId="4" xfId="0" applyNumberFormat="1" applyFont="1" applyFill="1" applyBorder="1" applyAlignment="1">
      <alignment horizontal="right"/>
    </xf>
    <xf numFmtId="171" fontId="50" fillId="3" borderId="25" xfId="1" applyNumberFormat="1" applyFont="1" applyFill="1" applyBorder="1"/>
    <xf numFmtId="171" fontId="50" fillId="3" borderId="4" xfId="1" applyNumberFormat="1" applyFont="1" applyFill="1" applyBorder="1"/>
    <xf numFmtId="171" fontId="50" fillId="0" borderId="4" xfId="1" applyNumberFormat="1" applyFont="1" applyFill="1" applyBorder="1"/>
    <xf numFmtId="171" fontId="50" fillId="0" borderId="4" xfId="1" applyNumberFormat="1" applyFont="1" applyBorder="1"/>
    <xf numFmtId="171" fontId="56" fillId="5" borderId="4" xfId="1" applyNumberFormat="1" applyFont="1" applyFill="1" applyBorder="1" applyAlignment="1">
      <alignment horizontal="center"/>
    </xf>
    <xf numFmtId="166" fontId="50" fillId="3" borderId="4" xfId="1" applyNumberFormat="1" applyFont="1" applyFill="1" applyBorder="1" applyAlignment="1">
      <alignment horizontal="right"/>
    </xf>
    <xf numFmtId="171" fontId="50" fillId="3" borderId="5" xfId="1" applyNumberFormat="1" applyFont="1" applyFill="1" applyBorder="1"/>
    <xf numFmtId="171" fontId="50" fillId="0" borderId="5" xfId="1" applyNumberFormat="1" applyFont="1" applyFill="1" applyBorder="1"/>
    <xf numFmtId="171" fontId="50" fillId="0" borderId="5" xfId="1" applyNumberFormat="1" applyFont="1" applyBorder="1"/>
    <xf numFmtId="171" fontId="0" fillId="15" borderId="109" xfId="0" applyNumberFormat="1" applyFill="1" applyBorder="1"/>
    <xf numFmtId="171" fontId="0" fillId="15" borderId="49" xfId="1" applyNumberFormat="1" applyFont="1" applyFill="1" applyBorder="1"/>
    <xf numFmtId="0" fontId="50" fillId="5" borderId="49" xfId="0" applyFont="1" applyFill="1" applyBorder="1"/>
    <xf numFmtId="171" fontId="0" fillId="15" borderId="62" xfId="0" applyNumberFormat="1" applyFill="1" applyBorder="1"/>
    <xf numFmtId="171" fontId="0" fillId="15" borderId="32" xfId="1" applyNumberFormat="1" applyFont="1" applyFill="1" applyBorder="1"/>
    <xf numFmtId="0" fontId="50" fillId="5" borderId="32" xfId="0" applyFont="1" applyFill="1" applyBorder="1"/>
    <xf numFmtId="171" fontId="0" fillId="15" borderId="110" xfId="0" applyNumberFormat="1" applyFill="1" applyBorder="1"/>
    <xf numFmtId="171" fontId="0" fillId="15" borderId="29" xfId="1" applyNumberFormat="1" applyFont="1" applyFill="1" applyBorder="1"/>
    <xf numFmtId="0" fontId="50" fillId="5" borderId="29" xfId="0" applyFont="1" applyFill="1" applyBorder="1"/>
    <xf numFmtId="171" fontId="0" fillId="0" borderId="0" xfId="1" applyNumberFormat="1" applyFont="1" applyBorder="1"/>
    <xf numFmtId="43" fontId="0" fillId="15" borderId="109" xfId="0" applyNumberFormat="1" applyFill="1" applyBorder="1"/>
    <xf numFmtId="43" fontId="0" fillId="15" borderId="109" xfId="1" applyFont="1" applyFill="1" applyBorder="1"/>
    <xf numFmtId="43" fontId="0" fillId="15" borderId="49" xfId="1" applyFont="1" applyFill="1" applyBorder="1"/>
    <xf numFmtId="0" fontId="53" fillId="5" borderId="49" xfId="0" applyFont="1" applyFill="1" applyBorder="1" applyAlignment="1">
      <alignment horizontal="left" indent="1"/>
    </xf>
    <xf numFmtId="43" fontId="0" fillId="15" borderId="62" xfId="0" applyNumberFormat="1" applyFill="1" applyBorder="1"/>
    <xf numFmtId="43" fontId="0" fillId="15" borderId="62" xfId="1" applyFont="1" applyFill="1" applyBorder="1"/>
    <xf numFmtId="43" fontId="0" fillId="15" borderId="32" xfId="1" applyFont="1" applyFill="1" applyBorder="1"/>
    <xf numFmtId="0" fontId="53" fillId="5" borderId="32" xfId="0" applyFont="1" applyFill="1" applyBorder="1"/>
    <xf numFmtId="0" fontId="0" fillId="15" borderId="32" xfId="0" applyFill="1" applyBorder="1"/>
    <xf numFmtId="166" fontId="0" fillId="15" borderId="62" xfId="1" applyNumberFormat="1" applyFont="1" applyFill="1" applyBorder="1"/>
    <xf numFmtId="166" fontId="0" fillId="15" borderId="32" xfId="0" applyNumberFormat="1" applyFill="1" applyBorder="1"/>
    <xf numFmtId="0" fontId="0" fillId="0" borderId="61" xfId="0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7" xfId="0" applyBorder="1"/>
    <xf numFmtId="0" fontId="51" fillId="0" borderId="0" xfId="0" applyFont="1"/>
    <xf numFmtId="0" fontId="51" fillId="0" borderId="0" xfId="0" applyFont="1" applyAlignment="1">
      <alignment vertical="center"/>
    </xf>
    <xf numFmtId="43" fontId="0" fillId="0" borderId="0" xfId="0" applyNumberFormat="1"/>
    <xf numFmtId="49" fontId="27" fillId="0" borderId="0" xfId="0" applyNumberFormat="1" applyFont="1" applyAlignment="1">
      <alignment horizontal="left"/>
    </xf>
    <xf numFmtId="49" fontId="59" fillId="0" borderId="0" xfId="0" applyNumberFormat="1" applyFont="1" applyAlignment="1">
      <alignment horizontal="left"/>
    </xf>
    <xf numFmtId="167" fontId="29" fillId="0" borderId="97" xfId="12" applyNumberFormat="1" applyFont="1" applyBorder="1" applyProtection="1"/>
    <xf numFmtId="167" fontId="29" fillId="0" borderId="51" xfId="12" applyNumberFormat="1" applyFont="1" applyBorder="1" applyProtection="1"/>
    <xf numFmtId="0" fontId="61" fillId="0" borderId="49" xfId="0" applyFont="1" applyBorder="1" applyAlignment="1">
      <alignment horizontal="left" indent="1"/>
    </xf>
    <xf numFmtId="167" fontId="29" fillId="0" borderId="25" xfId="12" applyNumberFormat="1" applyFont="1" applyBorder="1" applyProtection="1"/>
    <xf numFmtId="167" fontId="29" fillId="0" borderId="0" xfId="12" applyNumberFormat="1" applyFont="1" applyProtection="1"/>
    <xf numFmtId="0" fontId="61" fillId="0" borderId="32" xfId="0" applyFont="1" applyBorder="1" applyAlignment="1">
      <alignment horizontal="left" indent="1"/>
    </xf>
    <xf numFmtId="0" fontId="62" fillId="0" borderId="32" xfId="0" applyFont="1" applyBorder="1"/>
    <xf numFmtId="167" fontId="29" fillId="0" borderId="31" xfId="12" applyNumberFormat="1" applyFont="1" applyBorder="1" applyProtection="1"/>
    <xf numFmtId="167" fontId="29" fillId="0" borderId="30" xfId="12" applyNumberFormat="1" applyFont="1" applyBorder="1" applyProtection="1"/>
    <xf numFmtId="0" fontId="62" fillId="0" borderId="29" xfId="0" applyFont="1" applyBorder="1"/>
    <xf numFmtId="0" fontId="63" fillId="11" borderId="61" xfId="8" applyFont="1" applyFill="1" applyBorder="1" applyAlignment="1">
      <alignment horizontal="left"/>
    </xf>
    <xf numFmtId="4" fontId="63" fillId="11" borderId="98" xfId="8" applyNumberFormat="1" applyFont="1" applyFill="1" applyBorder="1" applyAlignment="1">
      <alignment horizontal="right" vertical="center"/>
    </xf>
    <xf numFmtId="0" fontId="64" fillId="11" borderId="47" xfId="8" applyFont="1" applyFill="1" applyBorder="1" applyAlignment="1">
      <alignment horizontal="left"/>
    </xf>
    <xf numFmtId="10" fontId="29" fillId="0" borderId="31" xfId="12" applyNumberFormat="1" applyFont="1" applyBorder="1" applyProtection="1"/>
    <xf numFmtId="10" fontId="29" fillId="0" borderId="30" xfId="12" applyNumberFormat="1" applyFont="1" applyBorder="1" applyProtection="1"/>
    <xf numFmtId="0" fontId="29" fillId="0" borderId="29" xfId="0" applyFont="1" applyBorder="1"/>
    <xf numFmtId="43" fontId="29" fillId="0" borderId="25" xfId="13" applyFont="1" applyBorder="1"/>
    <xf numFmtId="43" fontId="29" fillId="0" borderId="0" xfId="13" applyFont="1" applyBorder="1"/>
    <xf numFmtId="10" fontId="29" fillId="0" borderId="25" xfId="12" applyNumberFormat="1" applyFont="1" applyBorder="1" applyProtection="1"/>
    <xf numFmtId="10" fontId="29" fillId="0" borderId="0" xfId="12" applyNumberFormat="1" applyFont="1" applyProtection="1"/>
    <xf numFmtId="43" fontId="29" fillId="0" borderId="31" xfId="13" applyFont="1" applyBorder="1"/>
    <xf numFmtId="43" fontId="29" fillId="0" borderId="30" xfId="13" applyFont="1" applyBorder="1"/>
    <xf numFmtId="167" fontId="29" fillId="0" borderId="97" xfId="2" applyNumberFormat="1" applyFont="1" applyBorder="1" applyProtection="1"/>
    <xf numFmtId="167" fontId="29" fillId="0" borderId="51" xfId="2" applyNumberFormat="1" applyFont="1" applyBorder="1" applyProtection="1"/>
    <xf numFmtId="0" fontId="62" fillId="0" borderId="49" xfId="0" applyFont="1" applyBorder="1"/>
    <xf numFmtId="171" fontId="29" fillId="0" borderId="31" xfId="13" applyNumberFormat="1" applyFont="1" applyBorder="1"/>
    <xf numFmtId="171" fontId="29" fillId="0" borderId="30" xfId="13" applyNumberFormat="1" applyFont="1" applyBorder="1"/>
    <xf numFmtId="171" fontId="29" fillId="0" borderId="25" xfId="13" applyNumberFormat="1" applyFont="1" applyBorder="1"/>
    <xf numFmtId="171" fontId="29" fillId="0" borderId="0" xfId="13" applyNumberFormat="1" applyFont="1" applyBorder="1"/>
    <xf numFmtId="0" fontId="65" fillId="11" borderId="61" xfId="8" applyFont="1" applyFill="1" applyBorder="1" applyAlignment="1">
      <alignment horizontal="left"/>
    </xf>
    <xf numFmtId="4" fontId="65" fillId="11" borderId="98" xfId="8" applyNumberFormat="1" applyFont="1" applyFill="1" applyBorder="1" applyAlignment="1">
      <alignment horizontal="right" vertical="center"/>
    </xf>
    <xf numFmtId="49" fontId="66" fillId="0" borderId="0" xfId="0" applyNumberFormat="1" applyFont="1" applyAlignment="1">
      <alignment vertical="center" wrapText="1"/>
    </xf>
    <xf numFmtId="49" fontId="66" fillId="0" borderId="0" xfId="0" applyNumberFormat="1" applyFont="1" applyAlignment="1">
      <alignment horizontal="left" vertical="center"/>
    </xf>
    <xf numFmtId="49" fontId="67" fillId="0" borderId="0" xfId="0" applyNumberFormat="1" applyFont="1" applyAlignment="1">
      <alignment horizontal="left"/>
    </xf>
    <xf numFmtId="0" fontId="68" fillId="0" borderId="0" xfId="0" applyFont="1"/>
    <xf numFmtId="167" fontId="29" fillId="5" borderId="95" xfId="2" applyNumberFormat="1" applyFont="1" applyFill="1" applyBorder="1" applyAlignment="1">
      <alignment horizontal="right"/>
    </xf>
    <xf numFmtId="167" fontId="62" fillId="5" borderId="96" xfId="2" applyNumberFormat="1" applyFont="1" applyFill="1" applyBorder="1" applyAlignment="1">
      <alignment horizontal="right"/>
    </xf>
    <xf numFmtId="0" fontId="62" fillId="5" borderId="96" xfId="11" applyFont="1" applyFill="1" applyBorder="1" applyAlignment="1">
      <alignment horizontal="left"/>
    </xf>
    <xf numFmtId="169" fontId="62" fillId="5" borderId="0" xfId="11" applyNumberFormat="1" applyFont="1" applyFill="1"/>
    <xf numFmtId="0" fontId="62" fillId="5" borderId="70" xfId="11" applyFont="1" applyFill="1" applyBorder="1"/>
    <xf numFmtId="10" fontId="57" fillId="0" borderId="0" xfId="2" applyNumberFormat="1" applyFont="1" applyFill="1"/>
    <xf numFmtId="167" fontId="62" fillId="5" borderId="0" xfId="2" applyNumberFormat="1" applyFont="1" applyFill="1" applyBorder="1" applyAlignment="1">
      <alignment horizontal="right"/>
    </xf>
    <xf numFmtId="0" fontId="62" fillId="5" borderId="0" xfId="11" applyFont="1" applyFill="1" applyAlignment="1">
      <alignment horizontal="left"/>
    </xf>
    <xf numFmtId="0" fontId="69" fillId="0" borderId="0" xfId="0" applyFont="1"/>
    <xf numFmtId="0" fontId="62" fillId="0" borderId="0" xfId="0" applyFont="1" applyAlignment="1">
      <alignment vertical="center"/>
    </xf>
    <xf numFmtId="0" fontId="51" fillId="5" borderId="0" xfId="11" applyFont="1" applyFill="1" applyAlignment="1">
      <alignment horizontal="center" vertical="center"/>
    </xf>
    <xf numFmtId="0" fontId="51" fillId="0" borderId="0" xfId="11" applyFont="1" applyAlignment="1">
      <alignment vertical="center"/>
    </xf>
    <xf numFmtId="49" fontId="66" fillId="0" borderId="0" xfId="0" applyNumberFormat="1" applyFont="1" applyAlignment="1">
      <alignment horizontal="left" vertical="center" wrapText="1"/>
    </xf>
    <xf numFmtId="169" fontId="29" fillId="5" borderId="0" xfId="1" applyNumberFormat="1" applyFont="1" applyFill="1" applyBorder="1" applyAlignment="1">
      <alignment horizontal="center"/>
    </xf>
    <xf numFmtId="0" fontId="29" fillId="5" borderId="70" xfId="11" applyFont="1" applyFill="1" applyBorder="1" applyAlignment="1">
      <alignment horizontal="center"/>
    </xf>
    <xf numFmtId="169" fontId="29" fillId="5" borderId="0" xfId="1" applyNumberFormat="1" applyFont="1" applyFill="1" applyBorder="1" applyAlignment="1">
      <alignment horizontal="left" indent="2"/>
    </xf>
    <xf numFmtId="0" fontId="29" fillId="5" borderId="70" xfId="11" applyFont="1" applyFill="1" applyBorder="1" applyAlignment="1">
      <alignment horizontal="left" indent="2"/>
    </xf>
    <xf numFmtId="167" fontId="0" fillId="0" borderId="0" xfId="0" applyNumberFormat="1"/>
    <xf numFmtId="169" fontId="62" fillId="0" borderId="74" xfId="1" applyNumberFormat="1" applyFont="1" applyBorder="1" applyAlignment="1">
      <alignment horizontal="right"/>
    </xf>
    <xf numFmtId="169" fontId="62" fillId="0" borderId="0" xfId="1" applyNumberFormat="1" applyFont="1" applyBorder="1" applyAlignment="1">
      <alignment horizontal="center"/>
    </xf>
    <xf numFmtId="169" fontId="62" fillId="0" borderId="74" xfId="1" applyNumberFormat="1" applyFont="1" applyBorder="1" applyAlignment="1">
      <alignment horizontal="center"/>
    </xf>
    <xf numFmtId="169" fontId="62" fillId="5" borderId="0" xfId="1" applyNumberFormat="1" applyFont="1" applyFill="1" applyBorder="1" applyAlignment="1">
      <alignment horizontal="right"/>
    </xf>
    <xf numFmtId="169" fontId="29" fillId="5" borderId="0" xfId="1" applyNumberFormat="1" applyFont="1" applyFill="1" applyBorder="1" applyAlignment="1">
      <alignment horizontal="left"/>
    </xf>
    <xf numFmtId="0" fontId="29" fillId="5" borderId="70" xfId="11" applyFont="1" applyFill="1" applyBorder="1" applyAlignment="1">
      <alignment horizontal="left"/>
    </xf>
    <xf numFmtId="169" fontId="62" fillId="0" borderId="0" xfId="1" applyNumberFormat="1" applyFont="1" applyFill="1" applyBorder="1" applyAlignment="1">
      <alignment horizontal="right"/>
    </xf>
    <xf numFmtId="170" fontId="68" fillId="0" borderId="0" xfId="14" applyFont="1" applyFill="1"/>
    <xf numFmtId="0" fontId="51" fillId="0" borderId="0" xfId="11" applyFont="1" applyAlignment="1">
      <alignment horizontal="center" vertical="center"/>
    </xf>
    <xf numFmtId="169" fontId="0" fillId="0" borderId="1" xfId="1" applyNumberFormat="1" applyFont="1" applyBorder="1"/>
    <xf numFmtId="0" fontId="0" fillId="0" borderId="1" xfId="0" applyBorder="1"/>
    <xf numFmtId="0" fontId="0" fillId="16" borderId="1" xfId="0" applyFill="1" applyBorder="1"/>
    <xf numFmtId="0" fontId="68" fillId="0" borderId="0" xfId="0" applyFont="1" applyAlignment="1">
      <alignment horizontal="left"/>
    </xf>
    <xf numFmtId="167" fontId="29" fillId="5" borderId="95" xfId="15" applyNumberFormat="1" applyFont="1" applyFill="1" applyBorder="1" applyAlignment="1">
      <alignment horizontal="right"/>
    </xf>
    <xf numFmtId="169" fontId="62" fillId="5" borderId="0" xfId="11" applyNumberFormat="1" applyFont="1" applyFill="1" applyAlignment="1">
      <alignment horizontal="left"/>
    </xf>
    <xf numFmtId="0" fontId="62" fillId="5" borderId="70" xfId="11" applyFont="1" applyFill="1" applyBorder="1" applyAlignment="1">
      <alignment horizontal="left"/>
    </xf>
    <xf numFmtId="169" fontId="62" fillId="5" borderId="74" xfId="1" applyNumberFormat="1" applyFont="1" applyFill="1" applyBorder="1" applyAlignment="1">
      <alignment horizontal="right"/>
    </xf>
    <xf numFmtId="169" fontId="62" fillId="5" borderId="0" xfId="1" applyNumberFormat="1" applyFont="1" applyFill="1" applyBorder="1" applyAlignment="1">
      <alignment horizontal="left"/>
    </xf>
    <xf numFmtId="169" fontId="62" fillId="0" borderId="74" xfId="1" applyNumberFormat="1" applyFont="1" applyFill="1" applyBorder="1" applyAlignment="1">
      <alignment horizontal="right"/>
    </xf>
    <xf numFmtId="0" fontId="37" fillId="0" borderId="0" xfId="0" applyFont="1" applyAlignment="1">
      <alignment horizontal="left"/>
    </xf>
    <xf numFmtId="167" fontId="12" fillId="17" borderId="0" xfId="2" applyNumberFormat="1" applyFont="1" applyFill="1" applyAlignment="1">
      <alignment horizontal="center"/>
    </xf>
    <xf numFmtId="171" fontId="12" fillId="17" borderId="0" xfId="1" applyNumberFormat="1" applyFont="1" applyFill="1" applyAlignment="1">
      <alignment horizontal="center"/>
    </xf>
    <xf numFmtId="0" fontId="12" fillId="17" borderId="0" xfId="0" applyFont="1" applyFill="1" applyAlignment="1">
      <alignment horizontal="center"/>
    </xf>
    <xf numFmtId="167" fontId="46" fillId="0" borderId="0" xfId="2" applyNumberFormat="1" applyFont="1" applyAlignment="1">
      <alignment horizontal="center"/>
    </xf>
    <xf numFmtId="0" fontId="46" fillId="0" borderId="0" xfId="0" applyFont="1" applyAlignment="1">
      <alignment horizontal="center"/>
    </xf>
    <xf numFmtId="0" fontId="46" fillId="0" borderId="0" xfId="0" applyFont="1"/>
    <xf numFmtId="171" fontId="46" fillId="0" borderId="0" xfId="1" applyNumberFormat="1" applyFont="1" applyAlignment="1">
      <alignment horizontal="center"/>
    </xf>
    <xf numFmtId="0" fontId="46" fillId="0" borderId="0" xfId="0" applyFont="1" applyAlignment="1">
      <alignment horizontal="left" indent="2"/>
    </xf>
    <xf numFmtId="167" fontId="70" fillId="0" borderId="113" xfId="2" applyNumberFormat="1" applyFont="1" applyBorder="1" applyAlignment="1">
      <alignment horizontal="center"/>
    </xf>
    <xf numFmtId="171" fontId="70" fillId="0" borderId="113" xfId="1" applyNumberFormat="1" applyFont="1" applyBorder="1" applyAlignment="1">
      <alignment horizontal="center"/>
    </xf>
    <xf numFmtId="0" fontId="70" fillId="0" borderId="113" xfId="0" applyFont="1" applyBorder="1"/>
    <xf numFmtId="179" fontId="0" fillId="0" borderId="0" xfId="0" applyNumberFormat="1"/>
    <xf numFmtId="171" fontId="70" fillId="0" borderId="113" xfId="1" applyNumberFormat="1" applyFont="1" applyBorder="1" applyAlignment="1"/>
    <xf numFmtId="0" fontId="12" fillId="17" borderId="0" xfId="0" applyFont="1" applyFill="1" applyAlignment="1">
      <alignment horizontal="center" vertical="center"/>
    </xf>
    <xf numFmtId="49" fontId="50" fillId="0" borderId="0" xfId="0" applyNumberFormat="1" applyFont="1" applyAlignment="1">
      <alignment horizontal="center"/>
    </xf>
    <xf numFmtId="164" fontId="14" fillId="18" borderId="7" xfId="0" applyNumberFormat="1" applyFont="1" applyFill="1" applyBorder="1" applyAlignment="1">
      <alignment horizontal="center"/>
    </xf>
    <xf numFmtId="167" fontId="14" fillId="18" borderId="15" xfId="2" applyNumberFormat="1" applyFont="1" applyFill="1" applyBorder="1" applyAlignment="1">
      <alignment horizontal="center"/>
    </xf>
    <xf numFmtId="167" fontId="14" fillId="18" borderId="3" xfId="2" applyNumberFormat="1" applyFont="1" applyFill="1" applyBorder="1" applyAlignment="1">
      <alignment horizontal="center"/>
    </xf>
    <xf numFmtId="3" fontId="14" fillId="18" borderId="7" xfId="0" applyNumberFormat="1" applyFont="1" applyFill="1" applyBorder="1" applyAlignment="1">
      <alignment horizontal="center"/>
    </xf>
    <xf numFmtId="3" fontId="14" fillId="18" borderId="15" xfId="1" applyNumberFormat="1" applyFont="1" applyFill="1" applyBorder="1" applyAlignment="1">
      <alignment horizontal="center"/>
    </xf>
    <xf numFmtId="3" fontId="14" fillId="18" borderId="3" xfId="1" applyNumberFormat="1" applyFont="1" applyFill="1" applyBorder="1" applyAlignment="1">
      <alignment horizontal="center"/>
    </xf>
    <xf numFmtId="0" fontId="14" fillId="18" borderId="6" xfId="0" applyFont="1" applyFill="1" applyBorder="1"/>
    <xf numFmtId="164" fontId="14" fillId="18" borderId="5" xfId="0" applyNumberFormat="1" applyFont="1" applyFill="1" applyBorder="1" applyAlignment="1">
      <alignment horizontal="center"/>
    </xf>
    <xf numFmtId="167" fontId="14" fillId="18" borderId="0" xfId="2" applyNumberFormat="1" applyFont="1" applyFill="1" applyBorder="1" applyAlignment="1">
      <alignment horizontal="center"/>
    </xf>
    <xf numFmtId="167" fontId="14" fillId="18" borderId="2" xfId="2" applyNumberFormat="1" applyFont="1" applyFill="1" applyBorder="1" applyAlignment="1">
      <alignment horizontal="center"/>
    </xf>
    <xf numFmtId="3" fontId="14" fillId="18" borderId="5" xfId="0" applyNumberFormat="1" applyFont="1" applyFill="1" applyBorder="1" applyAlignment="1">
      <alignment horizontal="center"/>
    </xf>
    <xf numFmtId="3" fontId="14" fillId="18" borderId="0" xfId="1" applyNumberFormat="1" applyFont="1" applyFill="1" applyBorder="1" applyAlignment="1">
      <alignment horizontal="center"/>
    </xf>
    <xf numFmtId="3" fontId="14" fillId="18" borderId="2" xfId="1" applyNumberFormat="1" applyFont="1" applyFill="1" applyBorder="1" applyAlignment="1">
      <alignment horizontal="center"/>
    </xf>
    <xf numFmtId="0" fontId="14" fillId="18" borderId="4" xfId="0" applyFont="1" applyFill="1" applyBorder="1"/>
    <xf numFmtId="164" fontId="0" fillId="0" borderId="5" xfId="0" applyNumberFormat="1" applyBorder="1" applyAlignment="1">
      <alignment horizontal="center"/>
    </xf>
    <xf numFmtId="167" fontId="0" fillId="0" borderId="2" xfId="2" applyNumberFormat="1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0" xfId="1" applyNumberFormat="1" applyFont="1" applyBorder="1" applyAlignment="1">
      <alignment horizontal="center"/>
    </xf>
    <xf numFmtId="3" fontId="0" fillId="0" borderId="2" xfId="1" applyNumberFormat="1" applyFont="1" applyBorder="1" applyAlignment="1">
      <alignment horizontal="center"/>
    </xf>
    <xf numFmtId="0" fontId="0" fillId="0" borderId="4" xfId="0" applyBorder="1" applyAlignment="1">
      <alignment horizontal="left" indent="1"/>
    </xf>
    <xf numFmtId="171" fontId="0" fillId="0" borderId="0" xfId="1" applyNumberFormat="1" applyFont="1"/>
    <xf numFmtId="0" fontId="2" fillId="19" borderId="1" xfId="0" applyFont="1" applyFill="1" applyBorder="1" applyAlignment="1">
      <alignment horizontal="center" vertical="center"/>
    </xf>
    <xf numFmtId="43" fontId="0" fillId="0" borderId="0" xfId="1" applyFont="1"/>
    <xf numFmtId="167" fontId="14" fillId="18" borderId="7" xfId="2" applyNumberFormat="1" applyFont="1" applyFill="1" applyBorder="1" applyAlignment="1">
      <alignment horizontal="center"/>
    </xf>
    <xf numFmtId="167" fontId="14" fillId="18" borderId="5" xfId="2" applyNumberFormat="1" applyFont="1" applyFill="1" applyBorder="1" applyAlignment="1">
      <alignment horizontal="center"/>
    </xf>
    <xf numFmtId="167" fontId="0" fillId="0" borderId="5" xfId="2" applyNumberFormat="1" applyFont="1" applyBorder="1" applyAlignment="1">
      <alignment horizontal="center"/>
    </xf>
    <xf numFmtId="0" fontId="71" fillId="0" borderId="0" xfId="0" applyFont="1"/>
    <xf numFmtId="0" fontId="7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6" fillId="0" borderId="67" xfId="0" applyFont="1" applyBorder="1" applyAlignment="1">
      <alignment horizontal="center" vertical="center" wrapText="1"/>
    </xf>
    <xf numFmtId="0" fontId="25" fillId="9" borderId="23" xfId="0" applyFont="1" applyFill="1" applyBorder="1" applyAlignment="1">
      <alignment horizontal="center" vertical="center"/>
    </xf>
    <xf numFmtId="0" fontId="25" fillId="9" borderId="22" xfId="0" applyFont="1" applyFill="1" applyBorder="1" applyAlignment="1">
      <alignment horizontal="center" vertical="center"/>
    </xf>
    <xf numFmtId="0" fontId="25" fillId="9" borderId="24" xfId="0" applyFont="1" applyFill="1" applyBorder="1" applyAlignment="1">
      <alignment horizontal="center" vertical="center"/>
    </xf>
    <xf numFmtId="0" fontId="25" fillId="9" borderId="66" xfId="0" applyFont="1" applyFill="1" applyBorder="1" applyAlignment="1">
      <alignment horizontal="center" vertical="center" wrapText="1"/>
    </xf>
    <xf numFmtId="0" fontId="25" fillId="9" borderId="65" xfId="0" applyFont="1" applyFill="1" applyBorder="1" applyAlignment="1">
      <alignment horizontal="center" vertical="center" wrapText="1"/>
    </xf>
    <xf numFmtId="0" fontId="25" fillId="9" borderId="41" xfId="0" applyFont="1" applyFill="1" applyBorder="1" applyAlignment="1">
      <alignment horizontal="center" vertical="center" wrapText="1"/>
    </xf>
    <xf numFmtId="0" fontId="25" fillId="9" borderId="42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2" fillId="9" borderId="33" xfId="0" applyFont="1" applyFill="1" applyBorder="1" applyAlignment="1">
      <alignment horizontal="center" vertical="center"/>
    </xf>
    <xf numFmtId="0" fontId="2" fillId="9" borderId="63" xfId="0" applyFont="1" applyFill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/>
    </xf>
    <xf numFmtId="0" fontId="3" fillId="3" borderId="61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2" fillId="6" borderId="37" xfId="0" applyFont="1" applyFill="1" applyBorder="1" applyAlignment="1">
      <alignment horizontal="center" vertical="center"/>
    </xf>
    <xf numFmtId="0" fontId="2" fillId="6" borderId="23" xfId="0" applyFont="1" applyFill="1" applyBorder="1" applyAlignment="1">
      <alignment horizontal="center" vertical="center" wrapText="1"/>
    </xf>
    <xf numFmtId="0" fontId="2" fillId="6" borderId="36" xfId="0" applyFont="1" applyFill="1" applyBorder="1" applyAlignment="1">
      <alignment horizontal="center" vertical="center" wrapText="1"/>
    </xf>
    <xf numFmtId="0" fontId="2" fillId="6" borderId="39" xfId="0" applyFont="1" applyFill="1" applyBorder="1" applyAlignment="1">
      <alignment horizontal="center" vertical="center" wrapText="1"/>
    </xf>
    <xf numFmtId="0" fontId="2" fillId="6" borderId="42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2" fillId="6" borderId="37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6" borderId="40" xfId="0" applyFont="1" applyFill="1" applyBorder="1" applyAlignment="1">
      <alignment horizontal="center" vertical="center" wrapText="1"/>
    </xf>
    <xf numFmtId="0" fontId="2" fillId="6" borderId="43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2" fillId="6" borderId="49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6" borderId="26" xfId="0" applyFont="1" applyFill="1" applyBorder="1" applyAlignment="1">
      <alignment horizontal="center" vertical="center"/>
    </xf>
    <xf numFmtId="0" fontId="2" fillId="6" borderId="45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6" borderId="35" xfId="0" applyFont="1" applyFill="1" applyBorder="1" applyAlignment="1">
      <alignment horizontal="center" vertical="center" wrapText="1"/>
    </xf>
    <xf numFmtId="0" fontId="2" fillId="6" borderId="38" xfId="0" applyFont="1" applyFill="1" applyBorder="1" applyAlignment="1">
      <alignment horizontal="center" vertical="center" wrapText="1"/>
    </xf>
    <xf numFmtId="0" fontId="2" fillId="6" borderId="41" xfId="0" applyFont="1" applyFill="1" applyBorder="1" applyAlignment="1">
      <alignment horizontal="center" vertical="center" wrapText="1"/>
    </xf>
    <xf numFmtId="0" fontId="32" fillId="10" borderId="86" xfId="4" applyFont="1" applyFill="1" applyBorder="1" applyAlignment="1">
      <alignment horizontal="center" vertical="center" wrapText="1"/>
    </xf>
    <xf numFmtId="0" fontId="32" fillId="10" borderId="85" xfId="4" applyFont="1" applyFill="1" applyBorder="1" applyAlignment="1">
      <alignment horizontal="center" vertical="center" wrapText="1"/>
    </xf>
    <xf numFmtId="49" fontId="27" fillId="0" borderId="0" xfId="0" applyNumberFormat="1" applyFont="1" applyAlignment="1">
      <alignment horizontal="left" vertical="center" wrapText="1"/>
    </xf>
    <xf numFmtId="0" fontId="32" fillId="10" borderId="83" xfId="4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3" fillId="0" borderId="72" xfId="0" applyFont="1" applyBorder="1" applyAlignment="1">
      <alignment horizontal="center" vertical="center"/>
    </xf>
    <xf numFmtId="0" fontId="32" fillId="10" borderId="68" xfId="4" applyFont="1" applyFill="1" applyBorder="1" applyAlignment="1">
      <alignment horizontal="center" vertical="center" wrapText="1"/>
    </xf>
    <xf numFmtId="0" fontId="32" fillId="10" borderId="87" xfId="4" applyFont="1" applyFill="1" applyBorder="1" applyAlignment="1">
      <alignment horizontal="center" vertical="center" wrapText="1"/>
    </xf>
    <xf numFmtId="0" fontId="32" fillId="10" borderId="82" xfId="4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/>
    </xf>
    <xf numFmtId="0" fontId="43" fillId="0" borderId="67" xfId="0" applyFont="1" applyBorder="1" applyAlignment="1">
      <alignment horizontal="center"/>
    </xf>
    <xf numFmtId="0" fontId="35" fillId="6" borderId="65" xfId="4" applyFont="1" applyFill="1" applyBorder="1" applyAlignment="1">
      <alignment horizontal="center" vertical="center" wrapText="1"/>
    </xf>
    <xf numFmtId="0" fontId="35" fillId="6" borderId="42" xfId="4" applyFont="1" applyFill="1" applyBorder="1" applyAlignment="1">
      <alignment horizontal="center" vertical="center" wrapText="1"/>
    </xf>
    <xf numFmtId="0" fontId="35" fillId="6" borderId="23" xfId="4" applyFont="1" applyFill="1" applyBorder="1" applyAlignment="1">
      <alignment horizontal="center" vertical="center" wrapText="1"/>
    </xf>
    <xf numFmtId="0" fontId="35" fillId="6" borderId="24" xfId="4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67" xfId="0" applyFont="1" applyBorder="1" applyAlignment="1">
      <alignment horizontal="center"/>
    </xf>
    <xf numFmtId="0" fontId="35" fillId="6" borderId="66" xfId="4" applyFont="1" applyFill="1" applyBorder="1" applyAlignment="1">
      <alignment horizontal="center" vertical="center" wrapText="1"/>
    </xf>
    <xf numFmtId="0" fontId="35" fillId="6" borderId="41" xfId="4" applyFont="1" applyFill="1" applyBorder="1" applyAlignment="1">
      <alignment horizontal="center" vertical="center" wrapText="1"/>
    </xf>
    <xf numFmtId="49" fontId="27" fillId="0" borderId="69" xfId="0" applyNumberFormat="1" applyFont="1" applyBorder="1" applyAlignment="1">
      <alignment horizontal="left" vertical="center"/>
    </xf>
    <xf numFmtId="49" fontId="27" fillId="0" borderId="0" xfId="0" applyNumberFormat="1" applyFont="1" applyAlignment="1">
      <alignment horizontal="left" vertical="center"/>
    </xf>
    <xf numFmtId="49" fontId="66" fillId="0" borderId="0" xfId="0" applyNumberFormat="1" applyFont="1" applyAlignment="1">
      <alignment horizontal="left" vertical="center" wrapText="1"/>
    </xf>
    <xf numFmtId="0" fontId="5" fillId="10" borderId="68" xfId="4" applyFont="1" applyFill="1" applyBorder="1" applyAlignment="1">
      <alignment horizontal="center" vertical="center" wrapText="1"/>
    </xf>
    <xf numFmtId="0" fontId="5" fillId="10" borderId="82" xfId="4" applyFont="1" applyFill="1" applyBorder="1" applyAlignment="1">
      <alignment horizontal="center" vertical="center" wrapText="1"/>
    </xf>
    <xf numFmtId="0" fontId="62" fillId="0" borderId="72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" fillId="10" borderId="112" xfId="4" applyFont="1" applyFill="1" applyBorder="1" applyAlignment="1">
      <alignment horizontal="center" vertical="center" wrapText="1"/>
    </xf>
    <xf numFmtId="0" fontId="5" fillId="10" borderId="73" xfId="4" applyFont="1" applyFill="1" applyBorder="1" applyAlignment="1">
      <alignment horizontal="center" vertical="center" wrapText="1"/>
    </xf>
    <xf numFmtId="0" fontId="5" fillId="10" borderId="111" xfId="4" applyFont="1" applyFill="1" applyBorder="1" applyAlignment="1">
      <alignment horizontal="center" vertical="center" wrapText="1"/>
    </xf>
    <xf numFmtId="0" fontId="5" fillId="10" borderId="71" xfId="4" applyFont="1" applyFill="1" applyBorder="1" applyAlignment="1">
      <alignment horizontal="center" vertical="center" wrapText="1"/>
    </xf>
    <xf numFmtId="0" fontId="33" fillId="0" borderId="67" xfId="0" applyFont="1" applyBorder="1" applyAlignment="1">
      <alignment horizontal="center" vertical="center"/>
    </xf>
    <xf numFmtId="0" fontId="48" fillId="10" borderId="23" xfId="8" applyFont="1" applyFill="1" applyBorder="1" applyAlignment="1">
      <alignment horizontal="center" vertical="center" wrapText="1"/>
    </xf>
    <xf numFmtId="0" fontId="48" fillId="10" borderId="22" xfId="8" applyFont="1" applyFill="1" applyBorder="1" applyAlignment="1">
      <alignment horizontal="center" vertical="center" wrapText="1"/>
    </xf>
    <xf numFmtId="0" fontId="48" fillId="10" borderId="24" xfId="8" applyFont="1" applyFill="1" applyBorder="1" applyAlignment="1">
      <alignment horizontal="center" vertical="center" wrapText="1"/>
    </xf>
    <xf numFmtId="0" fontId="12" fillId="17" borderId="0" xfId="0" applyFont="1" applyFill="1" applyAlignment="1">
      <alignment horizontal="center" vertical="center"/>
    </xf>
    <xf numFmtId="0" fontId="51" fillId="0" borderId="0" xfId="0" applyFont="1" applyAlignment="1">
      <alignment horizontal="center"/>
    </xf>
    <xf numFmtId="49" fontId="50" fillId="0" borderId="0" xfId="0" applyNumberFormat="1" applyFont="1" applyAlignment="1">
      <alignment horizontal="center"/>
    </xf>
    <xf numFmtId="10" fontId="51" fillId="0" borderId="0" xfId="2" applyNumberFormat="1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17" fontId="57" fillId="0" borderId="0" xfId="0" applyNumberFormat="1" applyFont="1" applyAlignment="1">
      <alignment horizontal="center"/>
    </xf>
    <xf numFmtId="0" fontId="52" fillId="0" borderId="0" xfId="0" applyFont="1" applyAlignment="1">
      <alignment horizontal="left" wrapText="1" indent="1"/>
    </xf>
    <xf numFmtId="0" fontId="54" fillId="0" borderId="107" xfId="0" applyFont="1" applyBorder="1" applyAlignment="1">
      <alignment horizontal="center" vertical="center"/>
    </xf>
    <xf numFmtId="0" fontId="54" fillId="0" borderId="101" xfId="0" applyFont="1" applyBorder="1" applyAlignment="1">
      <alignment horizontal="center" vertical="center"/>
    </xf>
    <xf numFmtId="0" fontId="50" fillId="5" borderId="108" xfId="0" applyFont="1" applyFill="1" applyBorder="1" applyAlignment="1">
      <alignment horizontal="center"/>
    </xf>
    <xf numFmtId="0" fontId="50" fillId="5" borderId="102" xfId="0" applyFont="1" applyFill="1" applyBorder="1" applyAlignment="1">
      <alignment horizontal="center"/>
    </xf>
    <xf numFmtId="0" fontId="54" fillId="14" borderId="107" xfId="0" applyFont="1" applyFill="1" applyBorder="1" applyAlignment="1">
      <alignment horizontal="center" vertical="center"/>
    </xf>
    <xf numFmtId="0" fontId="54" fillId="14" borderId="101" xfId="0" applyFont="1" applyFill="1" applyBorder="1" applyAlignment="1">
      <alignment horizontal="center" vertical="center"/>
    </xf>
    <xf numFmtId="0" fontId="54" fillId="14" borderId="105" xfId="0" applyFont="1" applyFill="1" applyBorder="1" applyAlignment="1">
      <alignment horizontal="center" vertical="center"/>
    </xf>
    <xf numFmtId="0" fontId="54" fillId="14" borderId="99" xfId="0" applyFont="1" applyFill="1" applyBorder="1" applyAlignment="1">
      <alignment horizontal="center" vertical="center"/>
    </xf>
    <xf numFmtId="0" fontId="51" fillId="0" borderId="51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5" fillId="10" borderId="29" xfId="4" applyFont="1" applyFill="1" applyBorder="1" applyAlignment="1">
      <alignment horizontal="center" vertical="center" wrapText="1"/>
    </xf>
    <xf numFmtId="0" fontId="5" fillId="10" borderId="49" xfId="4" applyFont="1" applyFill="1" applyBorder="1" applyAlignment="1">
      <alignment horizontal="center" vertical="center" wrapText="1"/>
    </xf>
    <xf numFmtId="0" fontId="5" fillId="10" borderId="30" xfId="4" applyFont="1" applyFill="1" applyBorder="1" applyAlignment="1">
      <alignment horizontal="center" vertical="center" wrapText="1"/>
    </xf>
    <xf numFmtId="0" fontId="5" fillId="10" borderId="51" xfId="4" applyFont="1" applyFill="1" applyBorder="1" applyAlignment="1">
      <alignment horizontal="center" vertical="center" wrapText="1"/>
    </xf>
    <xf numFmtId="0" fontId="5" fillId="10" borderId="31" xfId="4" applyFont="1" applyFill="1" applyBorder="1" applyAlignment="1">
      <alignment horizontal="center" vertical="center" wrapText="1"/>
    </xf>
    <xf numFmtId="0" fontId="5" fillId="10" borderId="97" xfId="4" applyFont="1" applyFill="1" applyBorder="1" applyAlignment="1">
      <alignment horizontal="center" vertical="center" wrapText="1"/>
    </xf>
    <xf numFmtId="0" fontId="2" fillId="19" borderId="1" xfId="0" applyFont="1" applyFill="1" applyBorder="1" applyAlignment="1">
      <alignment horizontal="center" vertical="center"/>
    </xf>
  </cellXfs>
  <cellStyles count="17">
    <cellStyle name="Comma 2" xfId="3"/>
    <cellStyle name="Millares" xfId="1" builtinId="3"/>
    <cellStyle name="Millares 16 7" xfId="10"/>
    <cellStyle name="Millares 2" xfId="5"/>
    <cellStyle name="Millares 2 2" xfId="6"/>
    <cellStyle name="Millares 2 2 2" xfId="9"/>
    <cellStyle name="Millares 2 2 2 2" xfId="16"/>
    <cellStyle name="Millares 2 2 2 3" xfId="13"/>
    <cellStyle name="Millares 2 3" xfId="14"/>
    <cellStyle name="Normal" xfId="0" builtinId="0"/>
    <cellStyle name="Normal 2" xfId="4"/>
    <cellStyle name="Normal 2 2" xfId="8"/>
    <cellStyle name="Normal 3 10" xfId="7"/>
    <cellStyle name="Normal 3 2" xfId="11"/>
    <cellStyle name="Porcentaje" xfId="2" builtinId="5"/>
    <cellStyle name="Porcentaje 3" xfId="12"/>
    <cellStyle name="Porcentaje 5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externalLink" Target="externalLinks/externalLink10.xml"/><Relationship Id="rId47" Type="http://schemas.openxmlformats.org/officeDocument/2006/relationships/externalLink" Target="externalLinks/externalLink15.xml"/><Relationship Id="rId63" Type="http://schemas.openxmlformats.org/officeDocument/2006/relationships/externalLink" Target="externalLinks/externalLink31.xml"/><Relationship Id="rId68" Type="http://schemas.openxmlformats.org/officeDocument/2006/relationships/externalLink" Target="externalLinks/externalLink36.xml"/><Relationship Id="rId84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53" Type="http://schemas.openxmlformats.org/officeDocument/2006/relationships/externalLink" Target="externalLinks/externalLink21.xml"/><Relationship Id="rId58" Type="http://schemas.openxmlformats.org/officeDocument/2006/relationships/externalLink" Target="externalLinks/externalLink26.xml"/><Relationship Id="rId74" Type="http://schemas.openxmlformats.org/officeDocument/2006/relationships/externalLink" Target="externalLinks/externalLink42.xml"/><Relationship Id="rId79" Type="http://schemas.openxmlformats.org/officeDocument/2006/relationships/externalLink" Target="externalLinks/externalLink47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29.xml"/><Relationship Id="rId82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43" Type="http://schemas.openxmlformats.org/officeDocument/2006/relationships/externalLink" Target="externalLinks/externalLink11.xml"/><Relationship Id="rId48" Type="http://schemas.openxmlformats.org/officeDocument/2006/relationships/externalLink" Target="externalLinks/externalLink16.xml"/><Relationship Id="rId56" Type="http://schemas.openxmlformats.org/officeDocument/2006/relationships/externalLink" Target="externalLinks/externalLink24.xml"/><Relationship Id="rId64" Type="http://schemas.openxmlformats.org/officeDocument/2006/relationships/externalLink" Target="externalLinks/externalLink32.xml"/><Relationship Id="rId69" Type="http://schemas.openxmlformats.org/officeDocument/2006/relationships/externalLink" Target="externalLinks/externalLink37.xml"/><Relationship Id="rId77" Type="http://schemas.openxmlformats.org/officeDocument/2006/relationships/externalLink" Target="externalLinks/externalLink45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9.xml"/><Relationship Id="rId72" Type="http://schemas.openxmlformats.org/officeDocument/2006/relationships/externalLink" Target="externalLinks/externalLink40.xml"/><Relationship Id="rId80" Type="http://schemas.openxmlformats.org/officeDocument/2006/relationships/externalLink" Target="externalLinks/externalLink4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Relationship Id="rId46" Type="http://schemas.openxmlformats.org/officeDocument/2006/relationships/externalLink" Target="externalLinks/externalLink14.xml"/><Relationship Id="rId59" Type="http://schemas.openxmlformats.org/officeDocument/2006/relationships/externalLink" Target="externalLinks/externalLink27.xml"/><Relationship Id="rId67" Type="http://schemas.openxmlformats.org/officeDocument/2006/relationships/externalLink" Target="externalLinks/externalLink35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9.xml"/><Relationship Id="rId54" Type="http://schemas.openxmlformats.org/officeDocument/2006/relationships/externalLink" Target="externalLinks/externalLink22.xml"/><Relationship Id="rId62" Type="http://schemas.openxmlformats.org/officeDocument/2006/relationships/externalLink" Target="externalLinks/externalLink30.xml"/><Relationship Id="rId70" Type="http://schemas.openxmlformats.org/officeDocument/2006/relationships/externalLink" Target="externalLinks/externalLink38.xml"/><Relationship Id="rId75" Type="http://schemas.openxmlformats.org/officeDocument/2006/relationships/externalLink" Target="externalLinks/externalLink43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49" Type="http://schemas.openxmlformats.org/officeDocument/2006/relationships/externalLink" Target="externalLinks/externalLink17.xml"/><Relationship Id="rId57" Type="http://schemas.openxmlformats.org/officeDocument/2006/relationships/externalLink" Target="externalLinks/externalLink25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2.xml"/><Relationship Id="rId52" Type="http://schemas.openxmlformats.org/officeDocument/2006/relationships/externalLink" Target="externalLinks/externalLink20.xml"/><Relationship Id="rId60" Type="http://schemas.openxmlformats.org/officeDocument/2006/relationships/externalLink" Target="externalLinks/externalLink28.xml"/><Relationship Id="rId65" Type="http://schemas.openxmlformats.org/officeDocument/2006/relationships/externalLink" Target="externalLinks/externalLink33.xml"/><Relationship Id="rId73" Type="http://schemas.openxmlformats.org/officeDocument/2006/relationships/externalLink" Target="externalLinks/externalLink41.xml"/><Relationship Id="rId78" Type="http://schemas.openxmlformats.org/officeDocument/2006/relationships/externalLink" Target="externalLinks/externalLink46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externalLink" Target="externalLinks/externalLink7.xml"/><Relationship Id="rId34" Type="http://schemas.openxmlformats.org/officeDocument/2006/relationships/externalLink" Target="externalLinks/externalLink2.xml"/><Relationship Id="rId50" Type="http://schemas.openxmlformats.org/officeDocument/2006/relationships/externalLink" Target="externalLinks/externalLink18.xml"/><Relationship Id="rId55" Type="http://schemas.openxmlformats.org/officeDocument/2006/relationships/externalLink" Target="externalLinks/externalLink23.xml"/><Relationship Id="rId76" Type="http://schemas.openxmlformats.org/officeDocument/2006/relationships/externalLink" Target="externalLinks/externalLink44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39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externalLink" Target="externalLinks/externalLink8.xml"/><Relationship Id="rId45" Type="http://schemas.openxmlformats.org/officeDocument/2006/relationships/externalLink" Target="externalLinks/externalLink13.xml"/><Relationship Id="rId66" Type="http://schemas.openxmlformats.org/officeDocument/2006/relationships/externalLink" Target="externalLinks/externalLink3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Incidencia de la Demanda Interna</c:v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4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</c:numLit>
          </c:cat>
          <c:val>
            <c:numLit>
              <c:formatCode>General</c:formatCode>
              <c:ptCount val="4"/>
              <c:pt idx="0">
                <c:v>7.1864617100481478</c:v>
              </c:pt>
              <c:pt idx="1">
                <c:v>2.6825211737922046</c:v>
              </c:pt>
              <c:pt idx="2">
                <c:v>7.8115582355644637</c:v>
              </c:pt>
              <c:pt idx="3">
                <c:v>6.3472235245876547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9C9-48C0-B5A7-A6D1AF7DB08A}"/>
            </c:ext>
          </c:extLst>
        </c:ser>
        <c:ser>
          <c:idx val="1"/>
          <c:order val="1"/>
          <c:tx>
            <c:v>Incidencia de la Demanda Externa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4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</c:numLit>
          </c:cat>
          <c:val>
            <c:numLit>
              <c:formatCode>General</c:formatCode>
              <c:ptCount val="4"/>
              <c:pt idx="0">
                <c:v>-0.52726144842161049</c:v>
              </c:pt>
              <c:pt idx="1">
                <c:v>1.9841835024354055</c:v>
              </c:pt>
              <c:pt idx="2">
                <c:v>-0.82903065118192565</c:v>
              </c:pt>
              <c:pt idx="3">
                <c:v>-1.2950555018762979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9C9-48C0-B5A7-A6D1AF7DB08A}"/>
            </c:ext>
          </c:extLst>
        </c:ser>
        <c:ser>
          <c:idx val="2"/>
          <c:order val="2"/>
          <c:tx>
            <c:v>Producto Interno Bruto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4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</c:numLit>
          </c:cat>
          <c:val>
            <c:numLit>
              <c:formatCode>General</c:formatCode>
              <c:ptCount val="4"/>
              <c:pt idx="0">
                <c:v>6.6592002616265376</c:v>
              </c:pt>
              <c:pt idx="1">
                <c:v>4.6667046762276101</c:v>
              </c:pt>
              <c:pt idx="2">
                <c:v>6.9825275843825381</c:v>
              </c:pt>
              <c:pt idx="3">
                <c:v>5.0521680227113563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9C9-48C0-B5A7-A6D1AF7DB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693187744"/>
        <c:axId val="-693187200"/>
      </c:barChart>
      <c:catAx>
        <c:axId val="-693187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693187200"/>
        <c:crosses val="autoZero"/>
        <c:auto val="1"/>
        <c:lblAlgn val="ctr"/>
        <c:lblOffset val="100"/>
        <c:noMultiLvlLbl val="0"/>
      </c:catAx>
      <c:valAx>
        <c:axId val="-6931872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6931877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>
                <a:solidFill>
                  <a:schemeClr val="tx1"/>
                </a:solidFill>
              </a:rPr>
              <a:t>Crecimiento</a:t>
            </a:r>
            <a:r>
              <a:rPr lang="es-DO" b="1" baseline="0">
                <a:solidFill>
                  <a:schemeClr val="tx1"/>
                </a:solidFill>
              </a:rPr>
              <a:t> PIB Real</a:t>
            </a:r>
            <a:endParaRPr lang="es-DO" b="1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4591194968553458E-2"/>
          <c:y val="0.37078703703703703"/>
          <c:w val="0.9308176100628931"/>
          <c:h val="0.52181357538641004"/>
        </c:manualLayout>
      </c:layout>
      <c:barChart>
        <c:barDir val="col"/>
        <c:grouping val="clustered"/>
        <c:varyColors val="0"/>
        <c:ser>
          <c:idx val="4"/>
          <c:order val="4"/>
          <c:tx>
            <c:strRef>
              <c:f>'Gráfico 7'!$P$7</c:f>
              <c:strCache>
                <c:ptCount val="1"/>
                <c:pt idx="0">
                  <c:v>Crecimiento PIB real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pattFill prst="trellis">
                <a:fgClr>
                  <a:schemeClr val="tx2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CAC-4F59-8453-A83788DB81F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7'!$Q$2:$T$2</c:f>
              <c:strCache>
                <c:ptCount val="4"/>
                <c:pt idx="0">
                  <c:v>2019</c:v>
                </c:pt>
                <c:pt idx="1">
                  <c:v>PGE 2020</c:v>
                </c:pt>
                <c:pt idx="2">
                  <c:v>2020*</c:v>
                </c:pt>
                <c:pt idx="3">
                  <c:v>2021*</c:v>
                </c:pt>
              </c:strCache>
            </c:strRef>
          </c:cat>
          <c:val>
            <c:numRef>
              <c:f>'Gráfico 7'!$Q$7:$T$7</c:f>
              <c:numCache>
                <c:formatCode>0.0%</c:formatCode>
                <c:ptCount val="4"/>
                <c:pt idx="0">
                  <c:v>5.0999999999999997E-2</c:v>
                </c:pt>
                <c:pt idx="1">
                  <c:v>0.05</c:v>
                </c:pt>
                <c:pt idx="2">
                  <c:v>0</c:v>
                </c:pt>
                <c:pt idx="3">
                  <c:v>0.05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CAC-4F59-8453-A83788DB8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701268480"/>
        <c:axId val="-69654248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'Gráfico 7'!$P$3</c15:sqref>
                        </c15:formulaRef>
                      </c:ext>
                    </c:extLst>
                    <c:strCache>
                      <c:ptCount val="1"/>
                      <c:pt idx="0">
                        <c:v>Inflación (Promedio)</c:v>
                      </c:pt>
                    </c:strCache>
                  </c:strRef>
                </c:tx>
                <c:spPr>
                  <a:solidFill>
                    <a:schemeClr val="tx2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Pt>
                  <c:idx val="2"/>
                  <c:invertIfNegative val="0"/>
                  <c:bubble3D val="0"/>
                  <c:spPr>
                    <a:pattFill prst="trellis">
                      <a:fgClr>
                        <a:schemeClr val="tx2">
                          <a:lumMod val="40000"/>
                          <a:lumOff val="60000"/>
                        </a:schemeClr>
                      </a:fgClr>
                      <a:bgClr>
                        <a:schemeClr val="bg1"/>
                      </a:bgClr>
                    </a:pattFill>
                    <a:ln>
                      <a:noFill/>
                    </a:ln>
                    <a:effectLst/>
                  </c:spPr>
                  <c:extLst xmlns:c16r2="http://schemas.microsoft.com/office/drawing/2015/06/chart">
                    <c:ext xmlns:c16="http://schemas.microsoft.com/office/drawing/2014/chart" uri="{C3380CC4-5D6E-409C-BE32-E72D297353CC}">
                      <c16:uniqueId val="{00000004-7CAC-4F59-8453-A83788DB81F5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pattFill prst="trellis">
                      <a:fgClr>
                        <a:schemeClr val="tx2">
                          <a:lumMod val="40000"/>
                          <a:lumOff val="60000"/>
                        </a:schemeClr>
                      </a:fgClr>
                      <a:bgClr>
                        <a:schemeClr val="bg1"/>
                      </a:bgClr>
                    </a:pattFill>
                    <a:ln>
                      <a:noFill/>
                    </a:ln>
                    <a:effectLst/>
                  </c:spPr>
                  <c:extLst xmlns:c16r2="http://schemas.microsoft.com/office/drawing/2015/06/chart">
                    <c:ext xmlns:c16="http://schemas.microsoft.com/office/drawing/2014/chart" uri="{C3380CC4-5D6E-409C-BE32-E72D297353CC}">
                      <c16:uniqueId val="{00000006-7CAC-4F59-8453-A83788DB81F5}"/>
                    </c:ext>
                  </c:extLst>
                </c:dPt>
                <c:dLbls>
                  <c:numFmt formatCode="0.0%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'Gráfico 7'!$Q$2:$T$2</c15:sqref>
                        </c15:formulaRef>
                      </c:ext>
                    </c:extLst>
                    <c:strCache>
                      <c:ptCount val="4"/>
                      <c:pt idx="0">
                        <c:v>2019</c:v>
                      </c:pt>
                      <c:pt idx="1">
                        <c:v>PGE 2020</c:v>
                      </c:pt>
                      <c:pt idx="2">
                        <c:v>2020*</c:v>
                      </c:pt>
                      <c:pt idx="3">
                        <c:v>2021*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'Gráfico 7'!$Q$3:$T$3</c15:sqref>
                        </c15:formulaRef>
                      </c:ext>
                    </c:extLst>
                    <c:numCache>
                      <c:formatCode>0.0%</c:formatCode>
                      <c:ptCount val="4"/>
                      <c:pt idx="0">
                        <c:v>1.8100000000000002E-2</c:v>
                      </c:pt>
                      <c:pt idx="1">
                        <c:v>0.04</c:v>
                      </c:pt>
                      <c:pt idx="2">
                        <c:v>0.02</c:v>
                      </c:pt>
                      <c:pt idx="3">
                        <c:v>0.04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7-7CAC-4F59-8453-A83788DB81F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7'!$P$4</c15:sqref>
                        </c15:formulaRef>
                      </c:ext>
                    </c:extLst>
                    <c:strCache>
                      <c:ptCount val="1"/>
                      <c:pt idx="0">
                        <c:v>Inflación (diciembre)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7'!$Q$2:$T$2</c15:sqref>
                        </c15:formulaRef>
                      </c:ext>
                    </c:extLst>
                    <c:strCache>
                      <c:ptCount val="4"/>
                      <c:pt idx="0">
                        <c:v>2019</c:v>
                      </c:pt>
                      <c:pt idx="1">
                        <c:v>PGE 2020</c:v>
                      </c:pt>
                      <c:pt idx="2">
                        <c:v>2020*</c:v>
                      </c:pt>
                      <c:pt idx="3">
                        <c:v>2021*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7'!$Q$4:$T$4</c15:sqref>
                        </c15:formulaRef>
                      </c:ext>
                    </c:extLst>
                    <c:numCache>
                      <c:formatCode>0.0%</c:formatCode>
                      <c:ptCount val="4"/>
                      <c:pt idx="0">
                        <c:v>3.6600000000000001E-2</c:v>
                      </c:pt>
                      <c:pt idx="1">
                        <c:v>0.04</c:v>
                      </c:pt>
                      <c:pt idx="2">
                        <c:v>2.5000000000000001E-2</c:v>
                      </c:pt>
                      <c:pt idx="3">
                        <c:v>0.04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8-7CAC-4F59-8453-A83788DB81F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7'!$P$5</c15:sqref>
                        </c15:formulaRef>
                      </c:ext>
                    </c:extLst>
                    <c:strCache>
                      <c:ptCount val="1"/>
                      <c:pt idx="0">
                        <c:v>Tasa de Cambio (Promedio)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7'!$Q$2:$T$2</c15:sqref>
                        </c15:formulaRef>
                      </c:ext>
                    </c:extLst>
                    <c:strCache>
                      <c:ptCount val="4"/>
                      <c:pt idx="0">
                        <c:v>2019</c:v>
                      </c:pt>
                      <c:pt idx="1">
                        <c:v>PGE 2020</c:v>
                      </c:pt>
                      <c:pt idx="2">
                        <c:v>2020*</c:v>
                      </c:pt>
                      <c:pt idx="3">
                        <c:v>2021*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7'!$Q$5:$T$5</c15:sqref>
                        </c15:formulaRef>
                      </c:ext>
                    </c:extLst>
                    <c:numCache>
                      <c:formatCode>0.0</c:formatCode>
                      <c:ptCount val="4"/>
                      <c:pt idx="0" formatCode="0.00">
                        <c:v>51.3</c:v>
                      </c:pt>
                      <c:pt idx="1">
                        <c:v>53.56</c:v>
                      </c:pt>
                      <c:pt idx="2">
                        <c:v>57.05</c:v>
                      </c:pt>
                      <c:pt idx="3">
                        <c:v>59.33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9-7CAC-4F59-8453-A83788DB81F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7'!$P$6</c15:sqref>
                        </c15:formulaRef>
                      </c:ext>
                    </c:extLst>
                    <c:strCache>
                      <c:ptCount val="1"/>
                      <c:pt idx="0">
                        <c:v>Crecimiento PIB real EEUU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7'!$Q$2:$T$2</c15:sqref>
                        </c15:formulaRef>
                      </c:ext>
                    </c:extLst>
                    <c:strCache>
                      <c:ptCount val="4"/>
                      <c:pt idx="0">
                        <c:v>2019</c:v>
                      </c:pt>
                      <c:pt idx="1">
                        <c:v>PGE 2020</c:v>
                      </c:pt>
                      <c:pt idx="2">
                        <c:v>2020*</c:v>
                      </c:pt>
                      <c:pt idx="3">
                        <c:v>2021*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7'!$Q$6:$T$6</c15:sqref>
                        </c15:formulaRef>
                      </c:ext>
                    </c:extLst>
                    <c:numCache>
                      <c:formatCode>0.0%</c:formatCode>
                      <c:ptCount val="4"/>
                      <c:pt idx="0">
                        <c:v>2.3E-2</c:v>
                      </c:pt>
                      <c:pt idx="1">
                        <c:v>1.9E-2</c:v>
                      </c:pt>
                      <c:pt idx="2">
                        <c:v>-5.3999999999999999E-2</c:v>
                      </c:pt>
                      <c:pt idx="3">
                        <c:v>4.2999999999999997E-2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A-7CAC-4F59-8453-A83788DB81F5}"/>
                  </c:ext>
                </c:extLst>
              </c15:ser>
            </c15:filteredBarSeries>
          </c:ext>
        </c:extLst>
      </c:barChart>
      <c:catAx>
        <c:axId val="-70126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96542480"/>
        <c:crosses val="autoZero"/>
        <c:auto val="1"/>
        <c:lblAlgn val="ctr"/>
        <c:lblOffset val="100"/>
        <c:noMultiLvlLbl val="0"/>
      </c:catAx>
      <c:valAx>
        <c:axId val="-69654248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-701268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Producto Interno Bruto</c:v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4"/>
              <c:pt idx="0">
                <c:v>2017</c:v>
              </c:pt>
              <c:pt idx="1">
                <c:v>2018</c:v>
              </c:pt>
              <c:pt idx="2">
                <c:v>2019</c:v>
              </c:pt>
              <c:pt idx="3">
                <c:v>2020</c:v>
              </c:pt>
            </c:numLit>
          </c:cat>
          <c:val>
            <c:numLit>
              <c:formatCode>General</c:formatCode>
              <c:ptCount val="4"/>
              <c:pt idx="0">
                <c:v>5.8363761781153443</c:v>
              </c:pt>
              <c:pt idx="1">
                <c:v>6.7983550394186389</c:v>
              </c:pt>
              <c:pt idx="2">
                <c:v>5.7311973445719957</c:v>
              </c:pt>
              <c:pt idx="3">
                <c:v>4.0257722816221531E-3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6BD-4661-B76A-6583B195B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693188832"/>
        <c:axId val="-693185568"/>
      </c:barChart>
      <c:catAx>
        <c:axId val="-69318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693185568"/>
        <c:crosses val="autoZero"/>
        <c:auto val="1"/>
        <c:lblAlgn val="ctr"/>
        <c:lblOffset val="100"/>
        <c:noMultiLvlLbl val="0"/>
      </c:catAx>
      <c:valAx>
        <c:axId val="-6931855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693188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2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2015</c:v>
              </c:pt>
              <c:pt idx="1">
                <c:v>2016</c:v>
              </c:pt>
              <c:pt idx="2">
                <c:v>2017</c:v>
              </c:pt>
              <c:pt idx="3">
                <c:v>2018</c:v>
              </c:pt>
              <c:pt idx="4">
                <c:v>2019</c:v>
              </c:pt>
              <c:pt idx="5">
                <c:v>2020</c:v>
              </c:pt>
            </c:strLit>
          </c:cat>
          <c:val>
            <c:numLit>
              <c:formatCode>General</c:formatCode>
              <c:ptCount val="6"/>
              <c:pt idx="0">
                <c:v>226.40000000000077</c:v>
              </c:pt>
              <c:pt idx="1">
                <c:v>442.29999999999961</c:v>
              </c:pt>
              <c:pt idx="2">
                <c:v>400.60000000000059</c:v>
              </c:pt>
              <c:pt idx="3">
                <c:v>338.5</c:v>
              </c:pt>
              <c:pt idx="4">
                <c:v>283.49999999999932</c:v>
              </c:pt>
              <c:pt idx="5">
                <c:v>-67.899999999999636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650-4B99-8590-71E14FD44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-693186656"/>
        <c:axId val="-701270112"/>
      </c:barChart>
      <c:catAx>
        <c:axId val="-693186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01270112"/>
        <c:crosses val="autoZero"/>
        <c:auto val="1"/>
        <c:lblAlgn val="ctr"/>
        <c:lblOffset val="100"/>
        <c:noMultiLvlLbl val="0"/>
      </c:catAx>
      <c:valAx>
        <c:axId val="-7012701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6931866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Inflación Interanual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1"/>
          <c:order val="1"/>
          <c:spPr>
            <a:solidFill>
              <a:schemeClr val="bg1"/>
            </a:solidFill>
            <a:ln>
              <a:noFill/>
            </a:ln>
            <a:effectLst/>
          </c:spPr>
          <c:cat>
            <c:strLit>
              <c:ptCount val="31"/>
              <c:pt idx="0">
                <c:v>2017 Ene</c:v>
              </c:pt>
              <c:pt idx="1">
                <c:v>2017 Feb</c:v>
              </c:pt>
              <c:pt idx="2">
                <c:v>2017 Mar</c:v>
              </c:pt>
              <c:pt idx="3">
                <c:v>2017 Abr</c:v>
              </c:pt>
              <c:pt idx="4">
                <c:v>2017 May</c:v>
              </c:pt>
              <c:pt idx="5">
                <c:v>2017 Jun</c:v>
              </c:pt>
              <c:pt idx="6">
                <c:v>2017 Jul</c:v>
              </c:pt>
              <c:pt idx="7">
                <c:v>2017 Ago</c:v>
              </c:pt>
              <c:pt idx="8">
                <c:v>2017 Sep</c:v>
              </c:pt>
              <c:pt idx="9">
                <c:v>2017 Oct</c:v>
              </c:pt>
              <c:pt idx="10">
                <c:v>2017 Nov</c:v>
              </c:pt>
              <c:pt idx="11">
                <c:v>2017 Dic</c:v>
              </c:pt>
              <c:pt idx="12">
                <c:v>2018 Ene</c:v>
              </c:pt>
              <c:pt idx="13">
                <c:v>2018 Feb</c:v>
              </c:pt>
              <c:pt idx="14">
                <c:v>2018 Mar</c:v>
              </c:pt>
              <c:pt idx="15">
                <c:v>2018 Abr</c:v>
              </c:pt>
              <c:pt idx="16">
                <c:v>2018 May</c:v>
              </c:pt>
              <c:pt idx="17">
                <c:v>2018 Jun</c:v>
              </c:pt>
              <c:pt idx="18">
                <c:v>2018 Jul</c:v>
              </c:pt>
              <c:pt idx="19">
                <c:v>2018 Ago</c:v>
              </c:pt>
              <c:pt idx="20">
                <c:v>2018 Sep</c:v>
              </c:pt>
              <c:pt idx="21">
                <c:v>2018 Oct</c:v>
              </c:pt>
              <c:pt idx="22">
                <c:v>2018 Nov</c:v>
              </c:pt>
              <c:pt idx="23">
                <c:v>2018 Dic</c:v>
              </c:pt>
              <c:pt idx="24">
                <c:v>2019 Ene</c:v>
              </c:pt>
              <c:pt idx="25">
                <c:v>2019 Feb</c:v>
              </c:pt>
              <c:pt idx="26">
                <c:v>2019 Mar</c:v>
              </c:pt>
              <c:pt idx="27">
                <c:v>2019 Abr</c:v>
              </c:pt>
              <c:pt idx="28">
                <c:v>2019 May</c:v>
              </c:pt>
              <c:pt idx="29">
                <c:v>2019 Jun</c:v>
              </c:pt>
              <c:pt idx="30">
                <c:v>2019 Jul</c:v>
              </c:pt>
            </c:strLit>
          </c:cat>
          <c:val>
            <c:numLit>
              <c:formatCode>General</c:formatCode>
              <c:ptCount val="41"/>
              <c:pt idx="0">
                <c:v>0.03</c:v>
              </c:pt>
              <c:pt idx="1">
                <c:v>0.03</c:v>
              </c:pt>
              <c:pt idx="2">
                <c:v>0.03</c:v>
              </c:pt>
              <c:pt idx="3">
                <c:v>0.03</c:v>
              </c:pt>
              <c:pt idx="4">
                <c:v>0.03</c:v>
              </c:pt>
              <c:pt idx="5">
                <c:v>0.03</c:v>
              </c:pt>
              <c:pt idx="6">
                <c:v>0.03</c:v>
              </c:pt>
              <c:pt idx="7">
                <c:v>0.03</c:v>
              </c:pt>
              <c:pt idx="8">
                <c:v>0.03</c:v>
              </c:pt>
              <c:pt idx="9">
                <c:v>0.03</c:v>
              </c:pt>
              <c:pt idx="10">
                <c:v>0.03</c:v>
              </c:pt>
              <c:pt idx="11">
                <c:v>0.03</c:v>
              </c:pt>
              <c:pt idx="12">
                <c:v>0.03</c:v>
              </c:pt>
              <c:pt idx="13">
                <c:v>0.03</c:v>
              </c:pt>
              <c:pt idx="14">
                <c:v>0.03</c:v>
              </c:pt>
              <c:pt idx="15">
                <c:v>0.03</c:v>
              </c:pt>
              <c:pt idx="16">
                <c:v>0.03</c:v>
              </c:pt>
              <c:pt idx="17">
                <c:v>0.03</c:v>
              </c:pt>
              <c:pt idx="18">
                <c:v>0.03</c:v>
              </c:pt>
              <c:pt idx="19">
                <c:v>0.03</c:v>
              </c:pt>
              <c:pt idx="20">
                <c:v>0.03</c:v>
              </c:pt>
              <c:pt idx="21">
                <c:v>0.03</c:v>
              </c:pt>
              <c:pt idx="22">
                <c:v>0.03</c:v>
              </c:pt>
              <c:pt idx="23">
                <c:v>0.03</c:v>
              </c:pt>
              <c:pt idx="24">
                <c:v>0.03</c:v>
              </c:pt>
              <c:pt idx="25">
                <c:v>0.03</c:v>
              </c:pt>
              <c:pt idx="26">
                <c:v>0.03</c:v>
              </c:pt>
              <c:pt idx="27">
                <c:v>0.03</c:v>
              </c:pt>
              <c:pt idx="28">
                <c:v>0.03</c:v>
              </c:pt>
              <c:pt idx="29">
                <c:v>0.03</c:v>
              </c:pt>
              <c:pt idx="30">
                <c:v>0.03</c:v>
              </c:pt>
              <c:pt idx="31">
                <c:v>0.03</c:v>
              </c:pt>
              <c:pt idx="32">
                <c:v>0.03</c:v>
              </c:pt>
              <c:pt idx="33">
                <c:v>0.03</c:v>
              </c:pt>
              <c:pt idx="34">
                <c:v>0.03</c:v>
              </c:pt>
              <c:pt idx="35">
                <c:v>0.03</c:v>
              </c:pt>
              <c:pt idx="36">
                <c:v>0.03</c:v>
              </c:pt>
              <c:pt idx="37">
                <c:v>0.03</c:v>
              </c:pt>
              <c:pt idx="38">
                <c:v>0.03</c:v>
              </c:pt>
              <c:pt idx="39">
                <c:v>0.03</c:v>
              </c:pt>
              <c:pt idx="40">
                <c:v>0.03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56-41A9-9309-64D2BC75DF79}"/>
            </c:ext>
          </c:extLst>
        </c:ser>
        <c:ser>
          <c:idx val="2"/>
          <c:order val="2"/>
          <c:spPr>
            <a:solidFill>
              <a:schemeClr val="bg1">
                <a:lumMod val="85000"/>
              </a:schemeClr>
            </a:solidFill>
            <a:ln w="25400" cap="flat" cmpd="sng" algn="ctr">
              <a:solidFill>
                <a:schemeClr val="bg1">
                  <a:lumMod val="85000"/>
                </a:schemeClr>
              </a:solidFill>
              <a:prstDash val="solid"/>
            </a:ln>
            <a:effectLst/>
          </c:spPr>
          <c:cat>
            <c:strLit>
              <c:ptCount val="31"/>
              <c:pt idx="0">
                <c:v>2017 Ene</c:v>
              </c:pt>
              <c:pt idx="1">
                <c:v>2017 Feb</c:v>
              </c:pt>
              <c:pt idx="2">
                <c:v>2017 Mar</c:v>
              </c:pt>
              <c:pt idx="3">
                <c:v>2017 Abr</c:v>
              </c:pt>
              <c:pt idx="4">
                <c:v>2017 May</c:v>
              </c:pt>
              <c:pt idx="5">
                <c:v>2017 Jun</c:v>
              </c:pt>
              <c:pt idx="6">
                <c:v>2017 Jul</c:v>
              </c:pt>
              <c:pt idx="7">
                <c:v>2017 Ago</c:v>
              </c:pt>
              <c:pt idx="8">
                <c:v>2017 Sep</c:v>
              </c:pt>
              <c:pt idx="9">
                <c:v>2017 Oct</c:v>
              </c:pt>
              <c:pt idx="10">
                <c:v>2017 Nov</c:v>
              </c:pt>
              <c:pt idx="11">
                <c:v>2017 Dic</c:v>
              </c:pt>
              <c:pt idx="12">
                <c:v>2018 Ene</c:v>
              </c:pt>
              <c:pt idx="13">
                <c:v>2018 Feb</c:v>
              </c:pt>
              <c:pt idx="14">
                <c:v>2018 Mar</c:v>
              </c:pt>
              <c:pt idx="15">
                <c:v>2018 Abr</c:v>
              </c:pt>
              <c:pt idx="16">
                <c:v>2018 May</c:v>
              </c:pt>
              <c:pt idx="17">
                <c:v>2018 Jun</c:v>
              </c:pt>
              <c:pt idx="18">
                <c:v>2018 Jul</c:v>
              </c:pt>
              <c:pt idx="19">
                <c:v>2018 Ago</c:v>
              </c:pt>
              <c:pt idx="20">
                <c:v>2018 Sep</c:v>
              </c:pt>
              <c:pt idx="21">
                <c:v>2018 Oct</c:v>
              </c:pt>
              <c:pt idx="22">
                <c:v>2018 Nov</c:v>
              </c:pt>
              <c:pt idx="23">
                <c:v>2018 Dic</c:v>
              </c:pt>
              <c:pt idx="24">
                <c:v>2019 Ene</c:v>
              </c:pt>
              <c:pt idx="25">
                <c:v>2019 Feb</c:v>
              </c:pt>
              <c:pt idx="26">
                <c:v>2019 Mar</c:v>
              </c:pt>
              <c:pt idx="27">
                <c:v>2019 Abr</c:v>
              </c:pt>
              <c:pt idx="28">
                <c:v>2019 May</c:v>
              </c:pt>
              <c:pt idx="29">
                <c:v>2019 Jun</c:v>
              </c:pt>
              <c:pt idx="30">
                <c:v>2019 Jul</c:v>
              </c:pt>
            </c:strLit>
          </c:cat>
          <c:val>
            <c:numLit>
              <c:formatCode>General</c:formatCode>
              <c:ptCount val="41"/>
              <c:pt idx="0">
                <c:v>0.01</c:v>
              </c:pt>
              <c:pt idx="1">
                <c:v>0.01</c:v>
              </c:pt>
              <c:pt idx="2">
                <c:v>0.01</c:v>
              </c:pt>
              <c:pt idx="3">
                <c:v>0.01</c:v>
              </c:pt>
              <c:pt idx="4">
                <c:v>0.01</c:v>
              </c:pt>
              <c:pt idx="5">
                <c:v>0.01</c:v>
              </c:pt>
              <c:pt idx="6">
                <c:v>0.01</c:v>
              </c:pt>
              <c:pt idx="7">
                <c:v>0.01</c:v>
              </c:pt>
              <c:pt idx="8">
                <c:v>0.01</c:v>
              </c:pt>
              <c:pt idx="9">
                <c:v>0.01</c:v>
              </c:pt>
              <c:pt idx="10">
                <c:v>0.01</c:v>
              </c:pt>
              <c:pt idx="11">
                <c:v>0.01</c:v>
              </c:pt>
              <c:pt idx="12">
                <c:v>0.01</c:v>
              </c:pt>
              <c:pt idx="13">
                <c:v>0.01</c:v>
              </c:pt>
              <c:pt idx="14">
                <c:v>0.01</c:v>
              </c:pt>
              <c:pt idx="15">
                <c:v>0.01</c:v>
              </c:pt>
              <c:pt idx="16">
                <c:v>0.01</c:v>
              </c:pt>
              <c:pt idx="17">
                <c:v>0.01</c:v>
              </c:pt>
              <c:pt idx="18">
                <c:v>0.01</c:v>
              </c:pt>
              <c:pt idx="19">
                <c:v>0.01</c:v>
              </c:pt>
              <c:pt idx="20">
                <c:v>0.01</c:v>
              </c:pt>
              <c:pt idx="21">
                <c:v>0.01</c:v>
              </c:pt>
              <c:pt idx="22">
                <c:v>0.01</c:v>
              </c:pt>
              <c:pt idx="23">
                <c:v>0.01</c:v>
              </c:pt>
              <c:pt idx="24">
                <c:v>0.01</c:v>
              </c:pt>
              <c:pt idx="25">
                <c:v>0.01</c:v>
              </c:pt>
              <c:pt idx="26">
                <c:v>0.01</c:v>
              </c:pt>
              <c:pt idx="27">
                <c:v>0.01</c:v>
              </c:pt>
              <c:pt idx="28">
                <c:v>0.01</c:v>
              </c:pt>
              <c:pt idx="29">
                <c:v>0.01</c:v>
              </c:pt>
              <c:pt idx="30">
                <c:v>0.01</c:v>
              </c:pt>
              <c:pt idx="31">
                <c:v>0.01</c:v>
              </c:pt>
              <c:pt idx="32">
                <c:v>0.01</c:v>
              </c:pt>
              <c:pt idx="33">
                <c:v>0.01</c:v>
              </c:pt>
              <c:pt idx="34">
                <c:v>0.01</c:v>
              </c:pt>
              <c:pt idx="35">
                <c:v>0.01</c:v>
              </c:pt>
              <c:pt idx="36">
                <c:v>0.01</c:v>
              </c:pt>
              <c:pt idx="37">
                <c:v>0.01</c:v>
              </c:pt>
              <c:pt idx="38">
                <c:v>0.01</c:v>
              </c:pt>
              <c:pt idx="39">
                <c:v>0.01</c:v>
              </c:pt>
              <c:pt idx="40">
                <c:v>0.01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756-41A9-9309-64D2BC75DF7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85000"/>
                </a:schemeClr>
              </a:solidFill>
            </a:ln>
            <a:effectLst/>
          </c:spPr>
          <c:cat>
            <c:strLit>
              <c:ptCount val="31"/>
              <c:pt idx="0">
                <c:v>2017 Ene</c:v>
              </c:pt>
              <c:pt idx="1">
                <c:v>2017 Feb</c:v>
              </c:pt>
              <c:pt idx="2">
                <c:v>2017 Mar</c:v>
              </c:pt>
              <c:pt idx="3">
                <c:v>2017 Abr</c:v>
              </c:pt>
              <c:pt idx="4">
                <c:v>2017 May</c:v>
              </c:pt>
              <c:pt idx="5">
                <c:v>2017 Jun</c:v>
              </c:pt>
              <c:pt idx="6">
                <c:v>2017 Jul</c:v>
              </c:pt>
              <c:pt idx="7">
                <c:v>2017 Ago</c:v>
              </c:pt>
              <c:pt idx="8">
                <c:v>2017 Sep</c:v>
              </c:pt>
              <c:pt idx="9">
                <c:v>2017 Oct</c:v>
              </c:pt>
              <c:pt idx="10">
                <c:v>2017 Nov</c:v>
              </c:pt>
              <c:pt idx="11">
                <c:v>2017 Dic</c:v>
              </c:pt>
              <c:pt idx="12">
                <c:v>2018 Ene</c:v>
              </c:pt>
              <c:pt idx="13">
                <c:v>2018 Feb</c:v>
              </c:pt>
              <c:pt idx="14">
                <c:v>2018 Mar</c:v>
              </c:pt>
              <c:pt idx="15">
                <c:v>2018 Abr</c:v>
              </c:pt>
              <c:pt idx="16">
                <c:v>2018 May</c:v>
              </c:pt>
              <c:pt idx="17">
                <c:v>2018 Jun</c:v>
              </c:pt>
              <c:pt idx="18">
                <c:v>2018 Jul</c:v>
              </c:pt>
              <c:pt idx="19">
                <c:v>2018 Ago</c:v>
              </c:pt>
              <c:pt idx="20">
                <c:v>2018 Sep</c:v>
              </c:pt>
              <c:pt idx="21">
                <c:v>2018 Oct</c:v>
              </c:pt>
              <c:pt idx="22">
                <c:v>2018 Nov</c:v>
              </c:pt>
              <c:pt idx="23">
                <c:v>2018 Dic</c:v>
              </c:pt>
              <c:pt idx="24">
                <c:v>2019 Ene</c:v>
              </c:pt>
              <c:pt idx="25">
                <c:v>2019 Feb</c:v>
              </c:pt>
              <c:pt idx="26">
                <c:v>2019 Mar</c:v>
              </c:pt>
              <c:pt idx="27">
                <c:v>2019 Abr</c:v>
              </c:pt>
              <c:pt idx="28">
                <c:v>2019 May</c:v>
              </c:pt>
              <c:pt idx="29">
                <c:v>2019 Jun</c:v>
              </c:pt>
              <c:pt idx="30">
                <c:v>2019 Jul</c:v>
              </c:pt>
            </c:strLit>
          </c:cat>
          <c:val>
            <c:numLit>
              <c:formatCode>General</c:formatCode>
              <c:ptCount val="41"/>
              <c:pt idx="0">
                <c:v>0.01</c:v>
              </c:pt>
              <c:pt idx="1">
                <c:v>0.01</c:v>
              </c:pt>
              <c:pt idx="2">
                <c:v>0.01</c:v>
              </c:pt>
              <c:pt idx="3">
                <c:v>0.01</c:v>
              </c:pt>
              <c:pt idx="4">
                <c:v>0.01</c:v>
              </c:pt>
              <c:pt idx="5">
                <c:v>0.01</c:v>
              </c:pt>
              <c:pt idx="6">
                <c:v>0.01</c:v>
              </c:pt>
              <c:pt idx="7">
                <c:v>0.01</c:v>
              </c:pt>
              <c:pt idx="8">
                <c:v>0.01</c:v>
              </c:pt>
              <c:pt idx="9">
                <c:v>0.01</c:v>
              </c:pt>
              <c:pt idx="10">
                <c:v>0.01</c:v>
              </c:pt>
              <c:pt idx="11">
                <c:v>0.01</c:v>
              </c:pt>
              <c:pt idx="12">
                <c:v>0.01</c:v>
              </c:pt>
              <c:pt idx="13">
                <c:v>0.01</c:v>
              </c:pt>
              <c:pt idx="14">
                <c:v>0.01</c:v>
              </c:pt>
              <c:pt idx="15">
                <c:v>0.01</c:v>
              </c:pt>
              <c:pt idx="16">
                <c:v>0.01</c:v>
              </c:pt>
              <c:pt idx="17">
                <c:v>0.01</c:v>
              </c:pt>
              <c:pt idx="18">
                <c:v>0.01</c:v>
              </c:pt>
              <c:pt idx="19">
                <c:v>0.01</c:v>
              </c:pt>
              <c:pt idx="20">
                <c:v>0.01</c:v>
              </c:pt>
              <c:pt idx="21">
                <c:v>0.01</c:v>
              </c:pt>
              <c:pt idx="22">
                <c:v>0.01</c:v>
              </c:pt>
              <c:pt idx="23">
                <c:v>0.01</c:v>
              </c:pt>
              <c:pt idx="24">
                <c:v>0.01</c:v>
              </c:pt>
              <c:pt idx="25">
                <c:v>0.01</c:v>
              </c:pt>
              <c:pt idx="26">
                <c:v>0.01</c:v>
              </c:pt>
              <c:pt idx="27">
                <c:v>0.01</c:v>
              </c:pt>
              <c:pt idx="28">
                <c:v>0.01</c:v>
              </c:pt>
              <c:pt idx="29">
                <c:v>0.01</c:v>
              </c:pt>
              <c:pt idx="30">
                <c:v>0.01</c:v>
              </c:pt>
              <c:pt idx="31">
                <c:v>0.01</c:v>
              </c:pt>
              <c:pt idx="32">
                <c:v>0.01</c:v>
              </c:pt>
              <c:pt idx="33">
                <c:v>0.01</c:v>
              </c:pt>
              <c:pt idx="34">
                <c:v>0.01</c:v>
              </c:pt>
              <c:pt idx="35">
                <c:v>0.01</c:v>
              </c:pt>
              <c:pt idx="36">
                <c:v>0.01</c:v>
              </c:pt>
              <c:pt idx="37">
                <c:v>0.01</c:v>
              </c:pt>
              <c:pt idx="38">
                <c:v>0.01</c:v>
              </c:pt>
              <c:pt idx="39">
                <c:v>0.01</c:v>
              </c:pt>
              <c:pt idx="40">
                <c:v>0.01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756-41A9-9309-64D2BC75D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01275008"/>
        <c:axId val="-701273376"/>
      </c:areaChart>
      <c:lineChart>
        <c:grouping val="standard"/>
        <c:varyColors val="0"/>
        <c:ser>
          <c:idx val="0"/>
          <c:order val="0"/>
          <c:tx>
            <c:v>IPC</c:v>
          </c:tx>
          <c:spPr>
            <a:ln w="38100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38100">
                <a:solidFill>
                  <a:srgbClr val="00B0F0"/>
                </a:solidFill>
              </a:ln>
              <a:effectLst/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756-41A9-9309-64D2BC75DF7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2756-41A9-9309-64D2BC75DF7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756-41A9-9309-64D2BC75DF7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756-41A9-9309-64D2BC75DF79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756-41A9-9309-64D2BC75DF79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756-41A9-9309-64D2BC75DF79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5.6445189659069729E-2"/>
                  <c:y val="1.952886232808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756-41A9-9309-64D2BC75DF79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2756-41A9-9309-64D2BC75DF79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2756-41A9-9309-64D2BC75DF79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2756-41A9-9309-64D2BC75DF79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2756-41A9-9309-64D2BC75DF79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2756-41A9-9309-64D2BC75DF79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2756-41A9-9309-64D2BC75DF79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2756-41A9-9309-64D2BC75DF79}"/>
                </c:ex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2756-41A9-9309-64D2BC75DF79}"/>
                </c:ext>
                <c:ext xmlns:c15="http://schemas.microsoft.com/office/drawing/2012/chart" uri="{CE6537A1-D6FC-4f65-9D91-7224C49458BB}"/>
              </c:extLst>
            </c:dLbl>
            <c:dLbl>
              <c:idx val="35"/>
              <c:layout>
                <c:manualLayout>
                  <c:x val="-3.5914055510872782E-2"/>
                  <c:y val="-3.17153598807066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2756-41A9-9309-64D2BC75DF79}"/>
                </c:ext>
                <c:ext xmlns:c15="http://schemas.microsoft.com/office/drawing/2012/chart" uri="{CE6537A1-D6FC-4f65-9D91-7224C49458BB}"/>
              </c:extLst>
            </c:dLbl>
            <c:dLbl>
              <c:idx val="37"/>
              <c:layout>
                <c:manualLayout>
                  <c:x val="-1.1098201415068275E-2"/>
                  <c:y val="-2.8668735492550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2756-41A9-9309-64D2BC75DF79}"/>
                </c:ext>
                <c:ext xmlns:c15="http://schemas.microsoft.com/office/drawing/2012/chart" uri="{CE6537A1-D6FC-4f65-9D91-7224C49458BB}"/>
              </c:extLst>
            </c:dLbl>
            <c:dLbl>
              <c:idx val="40"/>
              <c:layout>
                <c:manualLayout>
                  <c:x val="-1.1667576545131581E-3"/>
                  <c:y val="-1.95288623280817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2756-41A9-9309-64D2BC75DF79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41"/>
              <c:pt idx="0">
                <c:v>2017 Ene</c:v>
              </c:pt>
              <c:pt idx="1">
                <c:v>2017 Feb</c:v>
              </c:pt>
              <c:pt idx="2">
                <c:v>2017 Mar</c:v>
              </c:pt>
              <c:pt idx="3">
                <c:v>2017 Abr</c:v>
              </c:pt>
              <c:pt idx="4">
                <c:v>2017 May</c:v>
              </c:pt>
              <c:pt idx="5">
                <c:v>2017 Jun</c:v>
              </c:pt>
              <c:pt idx="6">
                <c:v>2017 Jul</c:v>
              </c:pt>
              <c:pt idx="7">
                <c:v>2017 Ago</c:v>
              </c:pt>
              <c:pt idx="8">
                <c:v>2017 Sep</c:v>
              </c:pt>
              <c:pt idx="9">
                <c:v>2017 Oct</c:v>
              </c:pt>
              <c:pt idx="10">
                <c:v>2017 Nov</c:v>
              </c:pt>
              <c:pt idx="11">
                <c:v>2017 Dic</c:v>
              </c:pt>
              <c:pt idx="12">
                <c:v>2018 Ene</c:v>
              </c:pt>
              <c:pt idx="13">
                <c:v>2018 Feb</c:v>
              </c:pt>
              <c:pt idx="14">
                <c:v>2018 Mar</c:v>
              </c:pt>
              <c:pt idx="15">
                <c:v>2018 Abr</c:v>
              </c:pt>
              <c:pt idx="16">
                <c:v>2018 May</c:v>
              </c:pt>
              <c:pt idx="17">
                <c:v>2018 Jun</c:v>
              </c:pt>
              <c:pt idx="18">
                <c:v>2018 Jul</c:v>
              </c:pt>
              <c:pt idx="19">
                <c:v>2018 Ago</c:v>
              </c:pt>
              <c:pt idx="20">
                <c:v>2018 Sep</c:v>
              </c:pt>
              <c:pt idx="21">
                <c:v>2018 Oct</c:v>
              </c:pt>
              <c:pt idx="22">
                <c:v>2018 Nov</c:v>
              </c:pt>
              <c:pt idx="23">
                <c:v>2018 Dic</c:v>
              </c:pt>
              <c:pt idx="24">
                <c:v>2019 Ene</c:v>
              </c:pt>
              <c:pt idx="25">
                <c:v>2019 Feb</c:v>
              </c:pt>
              <c:pt idx="26">
                <c:v>2019 Mar</c:v>
              </c:pt>
              <c:pt idx="27">
                <c:v>2019 Abr</c:v>
              </c:pt>
              <c:pt idx="28">
                <c:v>2019 May</c:v>
              </c:pt>
              <c:pt idx="29">
                <c:v>2019 Jun</c:v>
              </c:pt>
              <c:pt idx="30">
                <c:v>2019 Jul</c:v>
              </c:pt>
              <c:pt idx="31">
                <c:v>2019 Ago</c:v>
              </c:pt>
              <c:pt idx="32">
                <c:v>2019 Sep</c:v>
              </c:pt>
              <c:pt idx="33">
                <c:v>2019 Oct</c:v>
              </c:pt>
              <c:pt idx="34">
                <c:v>2019 Nov</c:v>
              </c:pt>
              <c:pt idx="35">
                <c:v>2019 Dic</c:v>
              </c:pt>
              <c:pt idx="36">
                <c:v>2020 Ene</c:v>
              </c:pt>
              <c:pt idx="37">
                <c:v>2020 Feb</c:v>
              </c:pt>
              <c:pt idx="38">
                <c:v>2020 Mar</c:v>
              </c:pt>
              <c:pt idx="39">
                <c:v>2020 Abr</c:v>
              </c:pt>
              <c:pt idx="40">
                <c:v>2020 May</c:v>
              </c:pt>
            </c:strLit>
          </c:cat>
          <c:val>
            <c:numLit>
              <c:formatCode>General</c:formatCode>
              <c:ptCount val="41"/>
              <c:pt idx="0">
                <c:v>2.3323132908775079E-2</c:v>
              </c:pt>
              <c:pt idx="1">
                <c:v>3.3435914497213615E-2</c:v>
              </c:pt>
              <c:pt idx="2">
                <c:v>3.1442355681251088E-2</c:v>
              </c:pt>
              <c:pt idx="3">
                <c:v>3.5134460078261487E-2</c:v>
              </c:pt>
              <c:pt idx="4">
                <c:v>3.1060543144257213E-2</c:v>
              </c:pt>
              <c:pt idx="5">
                <c:v>2.5509782877899845E-2</c:v>
              </c:pt>
              <c:pt idx="6">
                <c:v>2.5379037574159602E-2</c:v>
              </c:pt>
              <c:pt idx="7">
                <c:v>3.1824552724874167E-2</c:v>
              </c:pt>
              <c:pt idx="8">
                <c:v>3.7992417999010986E-2</c:v>
              </c:pt>
              <c:pt idx="9">
                <c:v>3.4836907402842954E-2</c:v>
              </c:pt>
              <c:pt idx="10">
                <c:v>4.1355542791499111E-2</c:v>
              </c:pt>
              <c:pt idx="11">
                <c:v>4.2042774660486115E-2</c:v>
              </c:pt>
              <c:pt idx="12">
                <c:v>3.8632506263638566E-2</c:v>
              </c:pt>
              <c:pt idx="13">
                <c:v>3.3158953722334017E-2</c:v>
              </c:pt>
              <c:pt idx="14">
                <c:v>3.9112903225806406E-2</c:v>
              </c:pt>
              <c:pt idx="15">
                <c:v>4.0456848709080839E-2</c:v>
              </c:pt>
              <c:pt idx="16">
                <c:v>4.4703987112364008E-2</c:v>
              </c:pt>
              <c:pt idx="17">
                <c:v>4.628884237642894E-2</c:v>
              </c:pt>
              <c:pt idx="18">
                <c:v>4.4278367084538583E-2</c:v>
              </c:pt>
              <c:pt idx="19">
                <c:v>3.8673591689972087E-2</c:v>
              </c:pt>
              <c:pt idx="20">
                <c:v>3.2870186581976935E-2</c:v>
              </c:pt>
              <c:pt idx="21">
                <c:v>3.5172687574434258E-2</c:v>
              </c:pt>
              <c:pt idx="22">
                <c:v>2.3717595146166559E-2</c:v>
              </c:pt>
              <c:pt idx="23">
                <c:v>1.1705946620883312E-2</c:v>
              </c:pt>
              <c:pt idx="24">
                <c:v>7.0811609991439095E-3</c:v>
              </c:pt>
              <c:pt idx="25">
                <c:v>1.1918672587053036E-2</c:v>
              </c:pt>
              <c:pt idx="26">
                <c:v>1.4745828482731982E-2</c:v>
              </c:pt>
              <c:pt idx="27">
                <c:v>1.607915893630163E-2</c:v>
              </c:pt>
              <c:pt idx="28">
                <c:v>1.3107170393215295E-2</c:v>
              </c:pt>
              <c:pt idx="29">
                <c:v>9.1559590674770153E-3</c:v>
              </c:pt>
              <c:pt idx="30">
                <c:v>1.4005386687187649E-2</c:v>
              </c:pt>
              <c:pt idx="31">
                <c:v>1.7155165781983062E-2</c:v>
              </c:pt>
              <c:pt idx="32">
                <c:v>2.0216773003305377E-2</c:v>
              </c:pt>
              <c:pt idx="33">
                <c:v>2.4773738303421E-2</c:v>
              </c:pt>
              <c:pt idx="34">
                <c:v>3.225061576354693E-2</c:v>
              </c:pt>
              <c:pt idx="35">
                <c:v>3.6562789262573281E-2</c:v>
              </c:pt>
              <c:pt idx="36">
                <c:v>4.1724617524339314E-2</c:v>
              </c:pt>
              <c:pt idx="37">
                <c:v>3.6566589684372541E-2</c:v>
              </c:pt>
              <c:pt idx="38">
                <c:v>2.4474187380497003E-2</c:v>
              </c:pt>
              <c:pt idx="39">
                <c:v>1.0727328058429686E-2</c:v>
              </c:pt>
              <c:pt idx="40">
                <c:v>9.8934550989344672E-3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5-2756-41A9-9309-64D2BC75DF79}"/>
            </c:ext>
          </c:extLst>
        </c:ser>
        <c:ser>
          <c:idx val="5"/>
          <c:order val="4"/>
          <c:tx>
            <c:v>IPC Subyacente</c:v>
          </c:tx>
          <c:spPr>
            <a:ln w="38100" cap="rnd">
              <a:solidFill>
                <a:schemeClr val="tx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lumMod val="75000"/>
                </a:schemeClr>
              </a:solidFill>
              <a:ln w="38100">
                <a:solidFill>
                  <a:schemeClr val="tx2">
                    <a:lumMod val="75000"/>
                  </a:schemeClr>
                </a:solidFill>
              </a:ln>
              <a:effectLst/>
            </c:spPr>
          </c:marker>
          <c:dLbls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2756-41A9-9309-64D2BC75DF79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2756-41A9-9309-64D2BC75DF79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2756-41A9-9309-64D2BC75DF79}"/>
                </c:ext>
                <c:ext xmlns:c15="http://schemas.microsoft.com/office/drawing/2012/chart" uri="{CE6537A1-D6FC-4f65-9D91-7224C49458BB}"/>
              </c:extLst>
            </c:dLbl>
            <c:dLbl>
              <c:idx val="2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2756-41A9-9309-64D2BC75DF79}"/>
                </c:ext>
                <c:ext xmlns:c15="http://schemas.microsoft.com/office/drawing/2012/chart" uri="{CE6537A1-D6FC-4f65-9D91-7224C49458BB}"/>
              </c:extLst>
            </c:dLbl>
            <c:dLbl>
              <c:idx val="40"/>
              <c:layout>
                <c:manualLayout>
                  <c:x val="0"/>
                  <c:y val="-2.7419619493406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2756-41A9-9309-64D2BC75DF79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41"/>
              <c:pt idx="0">
                <c:v>2017 Ene</c:v>
              </c:pt>
              <c:pt idx="1">
                <c:v>2017 Feb</c:v>
              </c:pt>
              <c:pt idx="2">
                <c:v>2017 Mar</c:v>
              </c:pt>
              <c:pt idx="3">
                <c:v>2017 Abr</c:v>
              </c:pt>
              <c:pt idx="4">
                <c:v>2017 May</c:v>
              </c:pt>
              <c:pt idx="5">
                <c:v>2017 Jun</c:v>
              </c:pt>
              <c:pt idx="6">
                <c:v>2017 Jul</c:v>
              </c:pt>
              <c:pt idx="7">
                <c:v>2017 Ago</c:v>
              </c:pt>
              <c:pt idx="8">
                <c:v>2017 Sep</c:v>
              </c:pt>
              <c:pt idx="9">
                <c:v>2017 Oct</c:v>
              </c:pt>
              <c:pt idx="10">
                <c:v>2017 Nov</c:v>
              </c:pt>
              <c:pt idx="11">
                <c:v>2017 Dic</c:v>
              </c:pt>
              <c:pt idx="12">
                <c:v>2018 Ene</c:v>
              </c:pt>
              <c:pt idx="13">
                <c:v>2018 Feb</c:v>
              </c:pt>
              <c:pt idx="14">
                <c:v>2018 Mar</c:v>
              </c:pt>
              <c:pt idx="15">
                <c:v>2018 Abr</c:v>
              </c:pt>
              <c:pt idx="16">
                <c:v>2018 May</c:v>
              </c:pt>
              <c:pt idx="17">
                <c:v>2018 Jun</c:v>
              </c:pt>
              <c:pt idx="18">
                <c:v>2018 Jul</c:v>
              </c:pt>
              <c:pt idx="19">
                <c:v>2018 Ago</c:v>
              </c:pt>
              <c:pt idx="20">
                <c:v>2018 Sep</c:v>
              </c:pt>
              <c:pt idx="21">
                <c:v>2018 Oct</c:v>
              </c:pt>
              <c:pt idx="22">
                <c:v>2018 Nov</c:v>
              </c:pt>
              <c:pt idx="23">
                <c:v>2018 Dic</c:v>
              </c:pt>
              <c:pt idx="24">
                <c:v>2019 Ene</c:v>
              </c:pt>
              <c:pt idx="25">
                <c:v>2019 Feb</c:v>
              </c:pt>
              <c:pt idx="26">
                <c:v>2019 Mar</c:v>
              </c:pt>
              <c:pt idx="27">
                <c:v>2019 Abr</c:v>
              </c:pt>
              <c:pt idx="28">
                <c:v>2019 May</c:v>
              </c:pt>
              <c:pt idx="29">
                <c:v>2019 Jun</c:v>
              </c:pt>
              <c:pt idx="30">
                <c:v>2019 Jul</c:v>
              </c:pt>
              <c:pt idx="31">
                <c:v>2019 Ago</c:v>
              </c:pt>
              <c:pt idx="32">
                <c:v>2019 Sep</c:v>
              </c:pt>
              <c:pt idx="33">
                <c:v>2019 Oct</c:v>
              </c:pt>
              <c:pt idx="34">
                <c:v>2019 Nov</c:v>
              </c:pt>
              <c:pt idx="35">
                <c:v>2019 Dic</c:v>
              </c:pt>
              <c:pt idx="36">
                <c:v>2020 Ene</c:v>
              </c:pt>
              <c:pt idx="37">
                <c:v>2020 Feb</c:v>
              </c:pt>
              <c:pt idx="38">
                <c:v>2020 Mar</c:v>
              </c:pt>
              <c:pt idx="39">
                <c:v>2020 Abr</c:v>
              </c:pt>
              <c:pt idx="40">
                <c:v>2020 May</c:v>
              </c:pt>
            </c:strLit>
          </c:cat>
          <c:val>
            <c:numLit>
              <c:formatCode>General</c:formatCode>
              <c:ptCount val="41"/>
              <c:pt idx="0">
                <c:v>1.8527791687531492E-2</c:v>
              </c:pt>
              <c:pt idx="1">
                <c:v>2.0103436770103622E-2</c:v>
              </c:pt>
              <c:pt idx="2">
                <c:v>2.0845493204369125E-2</c:v>
              </c:pt>
              <c:pt idx="3">
                <c:v>2.1588730515962329E-2</c:v>
              </c:pt>
              <c:pt idx="4">
                <c:v>2.1981681931723562E-2</c:v>
              </c:pt>
              <c:pt idx="5">
                <c:v>2.1771647000166094E-2</c:v>
              </c:pt>
              <c:pt idx="6">
                <c:v>2.232550419121937E-2</c:v>
              </c:pt>
              <c:pt idx="7">
                <c:v>2.2678364509187254E-2</c:v>
              </c:pt>
              <c:pt idx="8">
                <c:v>2.2946760214610062E-2</c:v>
              </c:pt>
              <c:pt idx="9">
                <c:v>2.2341302555647147E-2</c:v>
              </c:pt>
              <c:pt idx="10">
                <c:v>2.3135188539436857E-2</c:v>
              </c:pt>
              <c:pt idx="11">
                <c:v>2.357676825761934E-2</c:v>
              </c:pt>
              <c:pt idx="12">
                <c:v>2.4254342838413656E-2</c:v>
              </c:pt>
              <c:pt idx="13">
                <c:v>2.4613623354321712E-2</c:v>
              </c:pt>
              <c:pt idx="14">
                <c:v>2.572898799313883E-2</c:v>
              </c:pt>
              <c:pt idx="15">
                <c:v>2.7251958224543182E-2</c:v>
              </c:pt>
              <c:pt idx="16">
                <c:v>2.696757373309433E-2</c:v>
              </c:pt>
              <c:pt idx="17">
                <c:v>2.6837996096291672E-2</c:v>
              </c:pt>
              <c:pt idx="18">
                <c:v>2.6140607241435188E-2</c:v>
              </c:pt>
              <c:pt idx="19">
                <c:v>2.589834898025245E-2</c:v>
              </c:pt>
              <c:pt idx="20">
                <c:v>2.525619301218418E-2</c:v>
              </c:pt>
              <c:pt idx="21">
                <c:v>2.5965647931618374E-2</c:v>
              </c:pt>
              <c:pt idx="22">
                <c:v>2.5428502454333479E-2</c:v>
              </c:pt>
              <c:pt idx="23">
                <c:v>2.4719101123595655E-2</c:v>
              </c:pt>
              <c:pt idx="24">
                <c:v>2.3760000000000003E-2</c:v>
              </c:pt>
              <c:pt idx="25">
                <c:v>2.258579409417405E-2</c:v>
              </c:pt>
              <c:pt idx="26">
                <c:v>2.1500238891543288E-2</c:v>
              </c:pt>
              <c:pt idx="27">
                <c:v>2.0651310563939651E-2</c:v>
              </c:pt>
              <c:pt idx="28">
                <c:v>1.9754065846886215E-2</c:v>
              </c:pt>
              <c:pt idx="29">
                <c:v>1.9483605258989289E-2</c:v>
              </c:pt>
              <c:pt idx="30">
                <c:v>2.0411392405063067E-2</c:v>
              </c:pt>
              <c:pt idx="31">
                <c:v>2.0590091511517805E-2</c:v>
              </c:pt>
              <c:pt idx="32">
                <c:v>2.1407209192507493E-2</c:v>
              </c:pt>
              <c:pt idx="33">
                <c:v>2.2321779454531177E-2</c:v>
              </c:pt>
              <c:pt idx="34">
                <c:v>2.1972847838028553E-2</c:v>
              </c:pt>
              <c:pt idx="35">
                <c:v>2.2478070175438569E-2</c:v>
              </c:pt>
              <c:pt idx="36">
                <c:v>2.4068140970540108E-2</c:v>
              </c:pt>
              <c:pt idx="37">
                <c:v>2.4974635136189915E-2</c:v>
              </c:pt>
              <c:pt idx="38">
                <c:v>2.666043030869969E-2</c:v>
              </c:pt>
              <c:pt idx="39">
                <c:v>2.7548638132295578E-2</c:v>
              </c:pt>
              <c:pt idx="40">
                <c:v>3.0963124319278279E-2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B-2756-41A9-9309-64D2BC75DF79}"/>
            </c:ext>
          </c:extLst>
        </c:ser>
        <c:ser>
          <c:idx val="4"/>
          <c:order val="5"/>
          <c:tx>
            <c:v>Meta de Inflación 4% ± 1</c:v>
          </c:tx>
          <c:spPr>
            <a:ln w="28575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strLit>
              <c:ptCount val="41"/>
              <c:pt idx="0">
                <c:v>2017 Ene</c:v>
              </c:pt>
              <c:pt idx="1">
                <c:v>2017 Feb</c:v>
              </c:pt>
              <c:pt idx="2">
                <c:v>2017 Mar</c:v>
              </c:pt>
              <c:pt idx="3">
                <c:v>2017 Abr</c:v>
              </c:pt>
              <c:pt idx="4">
                <c:v>2017 May</c:v>
              </c:pt>
              <c:pt idx="5">
                <c:v>2017 Jun</c:v>
              </c:pt>
              <c:pt idx="6">
                <c:v>2017 Jul</c:v>
              </c:pt>
              <c:pt idx="7">
                <c:v>2017 Ago</c:v>
              </c:pt>
              <c:pt idx="8">
                <c:v>2017 Sep</c:v>
              </c:pt>
              <c:pt idx="9">
                <c:v>2017 Oct</c:v>
              </c:pt>
              <c:pt idx="10">
                <c:v>2017 Nov</c:v>
              </c:pt>
              <c:pt idx="11">
                <c:v>2017 Dic</c:v>
              </c:pt>
              <c:pt idx="12">
                <c:v>2018 Ene</c:v>
              </c:pt>
              <c:pt idx="13">
                <c:v>2018 Feb</c:v>
              </c:pt>
              <c:pt idx="14">
                <c:v>2018 Mar</c:v>
              </c:pt>
              <c:pt idx="15">
                <c:v>2018 Abr</c:v>
              </c:pt>
              <c:pt idx="16">
                <c:v>2018 May</c:v>
              </c:pt>
              <c:pt idx="17">
                <c:v>2018 Jun</c:v>
              </c:pt>
              <c:pt idx="18">
                <c:v>2018 Jul</c:v>
              </c:pt>
              <c:pt idx="19">
                <c:v>2018 Ago</c:v>
              </c:pt>
              <c:pt idx="20">
                <c:v>2018 Sep</c:v>
              </c:pt>
              <c:pt idx="21">
                <c:v>2018 Oct</c:v>
              </c:pt>
              <c:pt idx="22">
                <c:v>2018 Nov</c:v>
              </c:pt>
              <c:pt idx="23">
                <c:v>2018 Dic</c:v>
              </c:pt>
              <c:pt idx="24">
                <c:v>2019 Ene</c:v>
              </c:pt>
              <c:pt idx="25">
                <c:v>2019 Feb</c:v>
              </c:pt>
              <c:pt idx="26">
                <c:v>2019 Mar</c:v>
              </c:pt>
              <c:pt idx="27">
                <c:v>2019 Abr</c:v>
              </c:pt>
              <c:pt idx="28">
                <c:v>2019 May</c:v>
              </c:pt>
              <c:pt idx="29">
                <c:v>2019 Jun</c:v>
              </c:pt>
              <c:pt idx="30">
                <c:v>2019 Jul</c:v>
              </c:pt>
              <c:pt idx="31">
                <c:v>2019 Ago</c:v>
              </c:pt>
              <c:pt idx="32">
                <c:v>2019 Sep</c:v>
              </c:pt>
              <c:pt idx="33">
                <c:v>2019 Oct</c:v>
              </c:pt>
              <c:pt idx="34">
                <c:v>2019 Nov</c:v>
              </c:pt>
              <c:pt idx="35">
                <c:v>2019 Dic</c:v>
              </c:pt>
              <c:pt idx="36">
                <c:v>2020 Ene</c:v>
              </c:pt>
              <c:pt idx="37">
                <c:v>2020 Feb</c:v>
              </c:pt>
              <c:pt idx="38">
                <c:v>2020 Mar</c:v>
              </c:pt>
              <c:pt idx="39">
                <c:v>2020 Abr</c:v>
              </c:pt>
              <c:pt idx="40">
                <c:v>2020 May</c:v>
              </c:pt>
            </c:strLit>
          </c:cat>
          <c:val>
            <c:numLit>
              <c:formatCode>General</c:formatCode>
              <c:ptCount val="41"/>
              <c:pt idx="0">
                <c:v>0.04</c:v>
              </c:pt>
              <c:pt idx="1">
                <c:v>0.04</c:v>
              </c:pt>
              <c:pt idx="2">
                <c:v>0.04</c:v>
              </c:pt>
              <c:pt idx="3">
                <c:v>0.04</c:v>
              </c:pt>
              <c:pt idx="4">
                <c:v>0.04</c:v>
              </c:pt>
              <c:pt idx="5">
                <c:v>0.04</c:v>
              </c:pt>
              <c:pt idx="6">
                <c:v>0.04</c:v>
              </c:pt>
              <c:pt idx="7">
                <c:v>0.04</c:v>
              </c:pt>
              <c:pt idx="8">
                <c:v>0.04</c:v>
              </c:pt>
              <c:pt idx="9">
                <c:v>0.04</c:v>
              </c:pt>
              <c:pt idx="10">
                <c:v>0.04</c:v>
              </c:pt>
              <c:pt idx="11">
                <c:v>0.04</c:v>
              </c:pt>
              <c:pt idx="12">
                <c:v>0.04</c:v>
              </c:pt>
              <c:pt idx="13">
                <c:v>0.04</c:v>
              </c:pt>
              <c:pt idx="14">
                <c:v>0.04</c:v>
              </c:pt>
              <c:pt idx="15">
                <c:v>0.04</c:v>
              </c:pt>
              <c:pt idx="16">
                <c:v>0.04</c:v>
              </c:pt>
              <c:pt idx="17">
                <c:v>0.04</c:v>
              </c:pt>
              <c:pt idx="18">
                <c:v>0.04</c:v>
              </c:pt>
              <c:pt idx="19">
                <c:v>0.04</c:v>
              </c:pt>
              <c:pt idx="20">
                <c:v>0.04</c:v>
              </c:pt>
              <c:pt idx="21">
                <c:v>0.04</c:v>
              </c:pt>
              <c:pt idx="22">
                <c:v>0.04</c:v>
              </c:pt>
              <c:pt idx="23">
                <c:v>0.04</c:v>
              </c:pt>
              <c:pt idx="24">
                <c:v>0.04</c:v>
              </c:pt>
              <c:pt idx="25">
                <c:v>0.04</c:v>
              </c:pt>
              <c:pt idx="26">
                <c:v>0.04</c:v>
              </c:pt>
              <c:pt idx="27">
                <c:v>0.04</c:v>
              </c:pt>
              <c:pt idx="28">
                <c:v>0.04</c:v>
              </c:pt>
              <c:pt idx="29">
                <c:v>0.04</c:v>
              </c:pt>
              <c:pt idx="30">
                <c:v>0.04</c:v>
              </c:pt>
              <c:pt idx="31">
                <c:v>0.04</c:v>
              </c:pt>
              <c:pt idx="32">
                <c:v>0.04</c:v>
              </c:pt>
              <c:pt idx="33">
                <c:v>0.04</c:v>
              </c:pt>
              <c:pt idx="34">
                <c:v>0.04</c:v>
              </c:pt>
              <c:pt idx="35">
                <c:v>0.04</c:v>
              </c:pt>
              <c:pt idx="36">
                <c:v>0.04</c:v>
              </c:pt>
              <c:pt idx="37">
                <c:v>0.04</c:v>
              </c:pt>
              <c:pt idx="38">
                <c:v>0.04</c:v>
              </c:pt>
              <c:pt idx="39">
                <c:v>0.04</c:v>
              </c:pt>
              <c:pt idx="40">
                <c:v>0.04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C-2756-41A9-9309-64D2BC75D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01275008"/>
        <c:axId val="-701273376"/>
      </c:lineChart>
      <c:catAx>
        <c:axId val="-70127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01273376"/>
        <c:crosses val="autoZero"/>
        <c:auto val="1"/>
        <c:lblAlgn val="ctr"/>
        <c:lblOffset val="100"/>
        <c:noMultiLvlLbl val="0"/>
      </c:catAx>
      <c:valAx>
        <c:axId val="-701273376"/>
        <c:scaling>
          <c:orientation val="minMax"/>
          <c:max val="5.000000000000001E-2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01275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905971127879711E-2"/>
          <c:y val="0.12051421343765731"/>
          <c:w val="0.93192336330195702"/>
          <c:h val="0.75785412487238168"/>
        </c:manualLayout>
      </c:layout>
      <c:lineChart>
        <c:grouping val="standard"/>
        <c:varyColors val="0"/>
        <c:ser>
          <c:idx val="0"/>
          <c:order val="0"/>
          <c:tx>
            <c:v>TPM</c:v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FE4-4034-8198-72DF8FD7A845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FE4-4034-8198-72DF8FD7A845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0FE4-4034-8198-72DF8FD7A845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2.0334964819338761E-2"/>
                  <c:y val="-2.65171344340612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FE4-4034-8198-72DF8FD7A845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numFmt formatCode="0.00%" sourceLinked="0"/>
              <c:spPr>
                <a:noFill/>
                <a:ln w="15875">
                  <a:solidFill>
                    <a:srgbClr val="002060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0FE4-4034-8198-72DF8FD7A845}"/>
                </c:ext>
                <c:ext xmlns:c15="http://schemas.microsoft.com/office/drawing/2012/chart" uri="{CE6537A1-D6FC-4f65-9D91-7224C49458BB}"/>
              </c:extLst>
            </c:dLbl>
            <c:dLbl>
              <c:idx val="26"/>
              <c:layout>
                <c:manualLayout>
                  <c:x val="-4.8342464687784706E-4"/>
                  <c:y val="3.5715374527605051E-2"/>
                </c:manualLayout>
              </c:layout>
              <c:numFmt formatCode="0.00%" sourceLinked="0"/>
              <c:spPr>
                <a:noFill/>
                <a:ln w="15875">
                  <a:solidFill>
                    <a:srgbClr val="002060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0FE4-4034-8198-72DF8FD7A845}"/>
                </c:ex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0"/>
              <c:pt idx="0">
                <c:v>2018 Ene</c:v>
              </c:pt>
              <c:pt idx="1">
                <c:v>2018 Feb</c:v>
              </c:pt>
              <c:pt idx="2">
                <c:v>2018 Mar</c:v>
              </c:pt>
              <c:pt idx="3">
                <c:v>2018 Abr</c:v>
              </c:pt>
              <c:pt idx="4">
                <c:v>2018 May</c:v>
              </c:pt>
              <c:pt idx="5">
                <c:v>2018 Jun</c:v>
              </c:pt>
              <c:pt idx="6">
                <c:v>2018 Jul</c:v>
              </c:pt>
              <c:pt idx="7">
                <c:v>2018 Ago</c:v>
              </c:pt>
              <c:pt idx="8">
                <c:v>2018 Sep</c:v>
              </c:pt>
              <c:pt idx="9">
                <c:v>2018 Oct</c:v>
              </c:pt>
              <c:pt idx="10">
                <c:v>2018 Nov</c:v>
              </c:pt>
              <c:pt idx="11">
                <c:v>2018 Dic</c:v>
              </c:pt>
              <c:pt idx="12">
                <c:v>2019 Ene</c:v>
              </c:pt>
              <c:pt idx="13">
                <c:v>2019 Feb</c:v>
              </c:pt>
              <c:pt idx="14">
                <c:v>2019 Mar</c:v>
              </c:pt>
              <c:pt idx="15">
                <c:v>2019 Abr</c:v>
              </c:pt>
              <c:pt idx="16">
                <c:v>2019 May</c:v>
              </c:pt>
              <c:pt idx="17">
                <c:v>2019 Jun</c:v>
              </c:pt>
              <c:pt idx="18">
                <c:v>2019 Jul</c:v>
              </c:pt>
              <c:pt idx="19">
                <c:v>2019 Ago</c:v>
              </c:pt>
              <c:pt idx="20">
                <c:v>2019 Sep</c:v>
              </c:pt>
              <c:pt idx="21">
                <c:v>2019 Oct</c:v>
              </c:pt>
              <c:pt idx="22">
                <c:v>2019 Nov</c:v>
              </c:pt>
              <c:pt idx="23">
                <c:v>2019 Dic</c:v>
              </c:pt>
              <c:pt idx="24">
                <c:v>2020 Ene</c:v>
              </c:pt>
              <c:pt idx="25">
                <c:v>2020 Feb</c:v>
              </c:pt>
              <c:pt idx="26">
                <c:v>2020 Mar</c:v>
              </c:pt>
              <c:pt idx="27">
                <c:v>2020 Abr</c:v>
              </c:pt>
              <c:pt idx="28">
                <c:v>2020 May</c:v>
              </c:pt>
              <c:pt idx="29">
                <c:v>2020 Jun</c:v>
              </c:pt>
            </c:strLit>
          </c:cat>
          <c:val>
            <c:numLit>
              <c:formatCode>General</c:formatCode>
              <c:ptCount val="30"/>
              <c:pt idx="0">
                <c:v>5.2499999999999998E-2</c:v>
              </c:pt>
              <c:pt idx="1">
                <c:v>5.2499999999999998E-2</c:v>
              </c:pt>
              <c:pt idx="2">
                <c:v>5.2499999999999998E-2</c:v>
              </c:pt>
              <c:pt idx="3">
                <c:v>5.2499999999999998E-2</c:v>
              </c:pt>
              <c:pt idx="4">
                <c:v>5.2499999999999998E-2</c:v>
              </c:pt>
              <c:pt idx="5">
                <c:v>5.2499999999999998E-2</c:v>
              </c:pt>
              <c:pt idx="6">
                <c:v>5.2499999999999998E-2</c:v>
              </c:pt>
              <c:pt idx="7">
                <c:v>5.5E-2</c:v>
              </c:pt>
              <c:pt idx="8">
                <c:v>5.5E-2</c:v>
              </c:pt>
              <c:pt idx="9">
                <c:v>5.5E-2</c:v>
              </c:pt>
              <c:pt idx="10">
                <c:v>5.5E-2</c:v>
              </c:pt>
              <c:pt idx="11">
                <c:v>5.5E-2</c:v>
              </c:pt>
              <c:pt idx="12">
                <c:v>5.5E-2</c:v>
              </c:pt>
              <c:pt idx="13">
                <c:v>5.5E-2</c:v>
              </c:pt>
              <c:pt idx="14">
                <c:v>5.5E-2</c:v>
              </c:pt>
              <c:pt idx="15">
                <c:v>5.5E-2</c:v>
              </c:pt>
              <c:pt idx="16">
                <c:v>5.5E-2</c:v>
              </c:pt>
              <c:pt idx="17">
                <c:v>0.05</c:v>
              </c:pt>
              <c:pt idx="18">
                <c:v>0.05</c:v>
              </c:pt>
              <c:pt idx="19">
                <c:v>4.7500000000000001E-2</c:v>
              </c:pt>
              <c:pt idx="20">
                <c:v>4.4999999999999998E-2</c:v>
              </c:pt>
              <c:pt idx="21">
                <c:v>4.4999999999999998E-2</c:v>
              </c:pt>
              <c:pt idx="22">
                <c:v>4.4999999999999998E-2</c:v>
              </c:pt>
              <c:pt idx="23">
                <c:v>4.4999999999999998E-2</c:v>
              </c:pt>
              <c:pt idx="24">
                <c:v>4.4999999999999998E-2</c:v>
              </c:pt>
              <c:pt idx="25">
                <c:v>4.4999999999999998E-2</c:v>
              </c:pt>
              <c:pt idx="26">
                <c:v>3.5000000000000003E-2</c:v>
              </c:pt>
              <c:pt idx="27">
                <c:v>3.5000000000000003E-2</c:v>
              </c:pt>
              <c:pt idx="28">
                <c:v>3.5000000000000003E-2</c:v>
              </c:pt>
              <c:pt idx="29">
                <c:v>3.5000000000000003E-2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0FE4-4034-8198-72DF8FD7A845}"/>
            </c:ext>
          </c:extLst>
        </c:ser>
        <c:ser>
          <c:idx val="1"/>
          <c:order val="1"/>
          <c:tx>
            <c:v>Depósito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0FE4-4034-8198-72DF8FD7A845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0FE4-4034-8198-72DF8FD7A845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0FE4-4034-8198-72DF8FD7A845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4663725660280822E-2"/>
                  <c:y val="-2.4995897127510089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0FE4-4034-8198-72DF8FD7A845}"/>
                </c:ext>
                <c:ext xmlns:c15="http://schemas.microsoft.com/office/drawing/2012/chart" uri="{CE6537A1-D6FC-4f65-9D91-7224C49458BB}">
                  <c15:layout>
                    <c:manualLayout>
                      <c:w val="4.7758978587499744E-2"/>
                      <c:h val="5.3034508451917324E-2"/>
                    </c:manualLayout>
                  </c15:layout>
                </c:ext>
              </c:extLst>
            </c:dLbl>
            <c:dLbl>
              <c:idx val="23"/>
              <c:numFmt formatCode="0.00%" sourceLinked="0"/>
              <c:spPr>
                <a:noFill/>
                <a:ln w="15875">
                  <a:solidFill>
                    <a:schemeClr val="accent2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0FE4-4034-8198-72DF8FD7A845}"/>
                </c:ext>
                <c:ext xmlns:c15="http://schemas.microsoft.com/office/drawing/2012/chart" uri="{CE6537A1-D6FC-4f65-9D91-7224C49458BB}"/>
              </c:extLst>
            </c:dLbl>
            <c:dLbl>
              <c:idx val="26"/>
              <c:layout>
                <c:manualLayout>
                  <c:x val="-4.8342464687784706E-4"/>
                  <c:y val="3.8764051821752833E-2"/>
                </c:manualLayout>
              </c:layout>
              <c:numFmt formatCode="0.00%" sourceLinked="0"/>
              <c:spPr>
                <a:noFill/>
                <a:ln w="15875">
                  <a:solidFill>
                    <a:schemeClr val="accent2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0FE4-4034-8198-72DF8FD7A845}"/>
                </c:ex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0"/>
              <c:pt idx="0">
                <c:v>2018 Ene</c:v>
              </c:pt>
              <c:pt idx="1">
                <c:v>2018 Feb</c:v>
              </c:pt>
              <c:pt idx="2">
                <c:v>2018 Mar</c:v>
              </c:pt>
              <c:pt idx="3">
                <c:v>2018 Abr</c:v>
              </c:pt>
              <c:pt idx="4">
                <c:v>2018 May</c:v>
              </c:pt>
              <c:pt idx="5">
                <c:v>2018 Jun</c:v>
              </c:pt>
              <c:pt idx="6">
                <c:v>2018 Jul</c:v>
              </c:pt>
              <c:pt idx="7">
                <c:v>2018 Ago</c:v>
              </c:pt>
              <c:pt idx="8">
                <c:v>2018 Sep</c:v>
              </c:pt>
              <c:pt idx="9">
                <c:v>2018 Oct</c:v>
              </c:pt>
              <c:pt idx="10">
                <c:v>2018 Nov</c:v>
              </c:pt>
              <c:pt idx="11">
                <c:v>2018 Dic</c:v>
              </c:pt>
              <c:pt idx="12">
                <c:v>2019 Ene</c:v>
              </c:pt>
              <c:pt idx="13">
                <c:v>2019 Feb</c:v>
              </c:pt>
              <c:pt idx="14">
                <c:v>2019 Mar</c:v>
              </c:pt>
              <c:pt idx="15">
                <c:v>2019 Abr</c:v>
              </c:pt>
              <c:pt idx="16">
                <c:v>2019 May</c:v>
              </c:pt>
              <c:pt idx="17">
                <c:v>2019 Jun</c:v>
              </c:pt>
              <c:pt idx="18">
                <c:v>2019 Jul</c:v>
              </c:pt>
              <c:pt idx="19">
                <c:v>2019 Ago</c:v>
              </c:pt>
              <c:pt idx="20">
                <c:v>2019 Sep</c:v>
              </c:pt>
              <c:pt idx="21">
                <c:v>2019 Oct</c:v>
              </c:pt>
              <c:pt idx="22">
                <c:v>2019 Nov</c:v>
              </c:pt>
              <c:pt idx="23">
                <c:v>2019 Dic</c:v>
              </c:pt>
              <c:pt idx="24">
                <c:v>2020 Ene</c:v>
              </c:pt>
              <c:pt idx="25">
                <c:v>2020 Feb</c:v>
              </c:pt>
              <c:pt idx="26">
                <c:v>2020 Mar</c:v>
              </c:pt>
              <c:pt idx="27">
                <c:v>2020 Abr</c:v>
              </c:pt>
              <c:pt idx="28">
                <c:v>2020 May</c:v>
              </c:pt>
              <c:pt idx="29">
                <c:v>2020 Jun</c:v>
              </c:pt>
            </c:strLit>
          </c:cat>
          <c:val>
            <c:numLit>
              <c:formatCode>General</c:formatCode>
              <c:ptCount val="30"/>
              <c:pt idx="0">
                <c:v>3.7499999999999999E-2</c:v>
              </c:pt>
              <c:pt idx="1">
                <c:v>3.7499999999999999E-2</c:v>
              </c:pt>
              <c:pt idx="2">
                <c:v>3.7499999999999999E-2</c:v>
              </c:pt>
              <c:pt idx="3">
                <c:v>3.7499999999999999E-2</c:v>
              </c:pt>
              <c:pt idx="4">
                <c:v>3.7499999999999999E-2</c:v>
              </c:pt>
              <c:pt idx="5">
                <c:v>3.7499999999999999E-2</c:v>
              </c:pt>
              <c:pt idx="6">
                <c:v>3.7499999999999999E-2</c:v>
              </c:pt>
              <c:pt idx="7">
                <c:v>0.04</c:v>
              </c:pt>
              <c:pt idx="8">
                <c:v>0.04</c:v>
              </c:pt>
              <c:pt idx="9">
                <c:v>0.04</c:v>
              </c:pt>
              <c:pt idx="10">
                <c:v>0.04</c:v>
              </c:pt>
              <c:pt idx="11">
                <c:v>0.04</c:v>
              </c:pt>
              <c:pt idx="12">
                <c:v>0.04</c:v>
              </c:pt>
              <c:pt idx="13">
                <c:v>0.04</c:v>
              </c:pt>
              <c:pt idx="14">
                <c:v>0.04</c:v>
              </c:pt>
              <c:pt idx="15">
                <c:v>0.04</c:v>
              </c:pt>
              <c:pt idx="16">
                <c:v>0.04</c:v>
              </c:pt>
              <c:pt idx="17">
                <c:v>0.04</c:v>
              </c:pt>
              <c:pt idx="18">
                <c:v>3.5000000000000003E-2</c:v>
              </c:pt>
              <c:pt idx="19">
                <c:v>3.2500000000000001E-2</c:v>
              </c:pt>
              <c:pt idx="20">
                <c:v>0.03</c:v>
              </c:pt>
              <c:pt idx="21">
                <c:v>0.03</c:v>
              </c:pt>
              <c:pt idx="22">
                <c:v>0.03</c:v>
              </c:pt>
              <c:pt idx="23">
                <c:v>0.03</c:v>
              </c:pt>
              <c:pt idx="24">
                <c:v>0.03</c:v>
              </c:pt>
              <c:pt idx="25">
                <c:v>0.03</c:v>
              </c:pt>
              <c:pt idx="26">
                <c:v>2.5000000000000001E-2</c:v>
              </c:pt>
              <c:pt idx="27">
                <c:v>2.5000000000000001E-2</c:v>
              </c:pt>
              <c:pt idx="28">
                <c:v>2.5000000000000001E-2</c:v>
              </c:pt>
              <c:pt idx="29">
                <c:v>2.5000000000000001E-2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0FE4-4034-8198-72DF8FD7A845}"/>
            </c:ext>
          </c:extLst>
        </c:ser>
        <c:ser>
          <c:idx val="2"/>
          <c:order val="2"/>
          <c:tx>
            <c:v>Préstamo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0FE4-4034-8198-72DF8FD7A845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0FE4-4034-8198-72DF8FD7A845}"/>
                </c:ext>
                <c:ext xmlns:c15="http://schemas.microsoft.com/office/drawing/2012/chart" uri="{CE6537A1-D6FC-4f65-9D91-7224C49458BB}"/>
              </c:extLst>
            </c:dLbl>
            <c:dLbl>
              <c:idx val="18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0FE4-4034-8198-72DF8FD7A845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6081535450045308E-2"/>
                  <c:y val="-8.260849252678302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0FE4-4034-8198-72DF8FD7A845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numFmt formatCode="0.00%" sourceLinked="0"/>
              <c:spPr>
                <a:noFill/>
                <a:ln w="15875">
                  <a:solidFill>
                    <a:schemeClr val="bg1">
                      <a:lumMod val="50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0FE4-4034-8198-72DF8FD7A845}"/>
                </c:ext>
                <c:ext xmlns:c15="http://schemas.microsoft.com/office/drawing/2012/chart" uri="{CE6537A1-D6FC-4f65-9D91-7224C49458BB}"/>
              </c:extLst>
            </c:dLbl>
            <c:dLbl>
              <c:idx val="26"/>
              <c:layout>
                <c:manualLayout>
                  <c:x val="-8.2456244938586504E-4"/>
                  <c:y val="2.6517374017856182E-2"/>
                </c:manualLayout>
              </c:layout>
              <c:numFmt formatCode="0.00%" sourceLinked="0"/>
              <c:spPr>
                <a:noFill/>
                <a:ln w="15875">
                  <a:solidFill>
                    <a:schemeClr val="bg1">
                      <a:lumMod val="50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0FE4-4034-8198-72DF8FD7A845}"/>
                </c:ex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0"/>
              <c:pt idx="0">
                <c:v>2018 Ene</c:v>
              </c:pt>
              <c:pt idx="1">
                <c:v>2018 Feb</c:v>
              </c:pt>
              <c:pt idx="2">
                <c:v>2018 Mar</c:v>
              </c:pt>
              <c:pt idx="3">
                <c:v>2018 Abr</c:v>
              </c:pt>
              <c:pt idx="4">
                <c:v>2018 May</c:v>
              </c:pt>
              <c:pt idx="5">
                <c:v>2018 Jun</c:v>
              </c:pt>
              <c:pt idx="6">
                <c:v>2018 Jul</c:v>
              </c:pt>
              <c:pt idx="7">
                <c:v>2018 Ago</c:v>
              </c:pt>
              <c:pt idx="8">
                <c:v>2018 Sep</c:v>
              </c:pt>
              <c:pt idx="9">
                <c:v>2018 Oct</c:v>
              </c:pt>
              <c:pt idx="10">
                <c:v>2018 Nov</c:v>
              </c:pt>
              <c:pt idx="11">
                <c:v>2018 Dic</c:v>
              </c:pt>
              <c:pt idx="12">
                <c:v>2019 Ene</c:v>
              </c:pt>
              <c:pt idx="13">
                <c:v>2019 Feb</c:v>
              </c:pt>
              <c:pt idx="14">
                <c:v>2019 Mar</c:v>
              </c:pt>
              <c:pt idx="15">
                <c:v>2019 Abr</c:v>
              </c:pt>
              <c:pt idx="16">
                <c:v>2019 May</c:v>
              </c:pt>
              <c:pt idx="17">
                <c:v>2019 Jun</c:v>
              </c:pt>
              <c:pt idx="18">
                <c:v>2019 Jul</c:v>
              </c:pt>
              <c:pt idx="19">
                <c:v>2019 Ago</c:v>
              </c:pt>
              <c:pt idx="20">
                <c:v>2019 Sep</c:v>
              </c:pt>
              <c:pt idx="21">
                <c:v>2019 Oct</c:v>
              </c:pt>
              <c:pt idx="22">
                <c:v>2019 Nov</c:v>
              </c:pt>
              <c:pt idx="23">
                <c:v>2019 Dic</c:v>
              </c:pt>
              <c:pt idx="24">
                <c:v>2020 Ene</c:v>
              </c:pt>
              <c:pt idx="25">
                <c:v>2020 Feb</c:v>
              </c:pt>
              <c:pt idx="26">
                <c:v>2020 Mar</c:v>
              </c:pt>
              <c:pt idx="27">
                <c:v>2020 Abr</c:v>
              </c:pt>
              <c:pt idx="28">
                <c:v>2020 May</c:v>
              </c:pt>
              <c:pt idx="29">
                <c:v>2020 Jun</c:v>
              </c:pt>
            </c:strLit>
          </c:cat>
          <c:val>
            <c:numLit>
              <c:formatCode>General</c:formatCode>
              <c:ptCount val="30"/>
              <c:pt idx="0">
                <c:v>6.7500000000000004E-2</c:v>
              </c:pt>
              <c:pt idx="1">
                <c:v>6.7500000000000004E-2</c:v>
              </c:pt>
              <c:pt idx="2">
                <c:v>6.7500000000000004E-2</c:v>
              </c:pt>
              <c:pt idx="3">
                <c:v>6.7500000000000004E-2</c:v>
              </c:pt>
              <c:pt idx="4">
                <c:v>6.7500000000000004E-2</c:v>
              </c:pt>
              <c:pt idx="5">
                <c:v>6.7500000000000004E-2</c:v>
              </c:pt>
              <c:pt idx="6">
                <c:v>6.7500000000000004E-2</c:v>
              </c:pt>
              <c:pt idx="7">
                <c:v>7.0000000000000007E-2</c:v>
              </c:pt>
              <c:pt idx="8">
                <c:v>7.0000000000000007E-2</c:v>
              </c:pt>
              <c:pt idx="9">
                <c:v>7.0000000000000007E-2</c:v>
              </c:pt>
              <c:pt idx="10">
                <c:v>7.0000000000000007E-2</c:v>
              </c:pt>
              <c:pt idx="11">
                <c:v>7.0000000000000007E-2</c:v>
              </c:pt>
              <c:pt idx="12">
                <c:v>7.0000000000000007E-2</c:v>
              </c:pt>
              <c:pt idx="13">
                <c:v>7.0000000000000007E-2</c:v>
              </c:pt>
              <c:pt idx="14">
                <c:v>7.0000000000000007E-2</c:v>
              </c:pt>
              <c:pt idx="15">
                <c:v>7.0000000000000007E-2</c:v>
              </c:pt>
              <c:pt idx="16">
                <c:v>7.0000000000000007E-2</c:v>
              </c:pt>
              <c:pt idx="17">
                <c:v>7.0000000000000007E-2</c:v>
              </c:pt>
              <c:pt idx="18">
                <c:v>6.5000000000000002E-2</c:v>
              </c:pt>
              <c:pt idx="19">
                <c:v>6.25E-2</c:v>
              </c:pt>
              <c:pt idx="20">
                <c:v>0.06</c:v>
              </c:pt>
              <c:pt idx="21">
                <c:v>0.06</c:v>
              </c:pt>
              <c:pt idx="22">
                <c:v>0.06</c:v>
              </c:pt>
              <c:pt idx="23">
                <c:v>0.06</c:v>
              </c:pt>
              <c:pt idx="24">
                <c:v>0.06</c:v>
              </c:pt>
              <c:pt idx="25">
                <c:v>0.06</c:v>
              </c:pt>
              <c:pt idx="26">
                <c:v>4.4999999999999998E-2</c:v>
              </c:pt>
              <c:pt idx="27">
                <c:v>4.4999999999999998E-2</c:v>
              </c:pt>
              <c:pt idx="28">
                <c:v>4.4999999999999998E-2</c:v>
              </c:pt>
              <c:pt idx="29">
                <c:v>4.4999999999999998E-2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0FE4-4034-8198-72DF8FD7A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701275552"/>
        <c:axId val="-701272832"/>
      </c:lineChart>
      <c:catAx>
        <c:axId val="-70127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01272832"/>
        <c:crosses val="autoZero"/>
        <c:auto val="1"/>
        <c:lblAlgn val="ctr"/>
        <c:lblOffset val="100"/>
        <c:noMultiLvlLbl val="0"/>
      </c:catAx>
      <c:valAx>
        <c:axId val="-701272832"/>
        <c:scaling>
          <c:orientation val="minMax"/>
          <c:min val="2.0000000000000004E-2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01275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322830292979547E-2"/>
          <c:y val="3.5555551030869194E-2"/>
          <c:w val="0.95135433941404091"/>
          <c:h val="0.81552039252106667"/>
        </c:manualLayout>
      </c:layout>
      <c:barChart>
        <c:barDir val="col"/>
        <c:grouping val="clustered"/>
        <c:varyColors val="0"/>
        <c:ser>
          <c:idx val="0"/>
          <c:order val="0"/>
          <c:tx>
            <c:v>Recaudado 2019</c:v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6533996683250415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424-4C92-8EDA-1A3EFC6F920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TN</c:v>
              </c:pt>
              <c:pt idx="1">
                <c:v>DGII</c:v>
              </c:pt>
              <c:pt idx="2">
                <c:v>DGA</c:v>
              </c:pt>
            </c:strLit>
          </c:cat>
          <c:val>
            <c:numLit>
              <c:formatCode>General</c:formatCode>
              <c:ptCount val="3"/>
              <c:pt idx="0">
                <c:v>19406738682.890015</c:v>
              </c:pt>
              <c:pt idx="1">
                <c:v>246325923243.59</c:v>
              </c:pt>
              <c:pt idx="2">
                <c:v>67327632752.650002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424-4C92-8EDA-1A3EFC6F9200}"/>
            </c:ext>
          </c:extLst>
        </c:ser>
        <c:ser>
          <c:idx val="1"/>
          <c:order val="1"/>
          <c:tx>
            <c:v>Reestimado 2020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TN</c:v>
              </c:pt>
              <c:pt idx="1">
                <c:v>DGII</c:v>
              </c:pt>
              <c:pt idx="2">
                <c:v>DGA</c:v>
              </c:pt>
            </c:strLit>
          </c:cat>
          <c:val>
            <c:numLit>
              <c:formatCode>General</c:formatCode>
              <c:ptCount val="3"/>
              <c:pt idx="0">
                <c:v>30832572505.9151</c:v>
              </c:pt>
              <c:pt idx="1">
                <c:v>217129279424.04901</c:v>
              </c:pt>
              <c:pt idx="2">
                <c:v>57735237311.996696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424-4C92-8EDA-1A3EFC6F9200}"/>
            </c:ext>
          </c:extLst>
        </c:ser>
        <c:ser>
          <c:idx val="2"/>
          <c:order val="2"/>
          <c:tx>
            <c:v>Recaudado 2020</c:v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TN</c:v>
              </c:pt>
              <c:pt idx="1">
                <c:v>DGII</c:v>
              </c:pt>
              <c:pt idx="2">
                <c:v>DGA</c:v>
              </c:pt>
            </c:strLit>
          </c:cat>
          <c:val>
            <c:numLit>
              <c:formatCode>General</c:formatCode>
              <c:ptCount val="3"/>
              <c:pt idx="0">
                <c:v>29898272883.109985</c:v>
              </c:pt>
              <c:pt idx="1">
                <c:v>201181902967.33002</c:v>
              </c:pt>
              <c:pt idx="2">
                <c:v>53860466983.780014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424-4C92-8EDA-1A3EFC6F920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701271200"/>
        <c:axId val="-701269568"/>
      </c:barChart>
      <c:catAx>
        <c:axId val="-70127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01269568"/>
        <c:crosses val="autoZero"/>
        <c:auto val="1"/>
        <c:lblAlgn val="ctr"/>
        <c:lblOffset val="100"/>
        <c:noMultiLvlLbl val="0"/>
      </c:catAx>
      <c:valAx>
        <c:axId val="-7012695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701271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>
                <a:solidFill>
                  <a:schemeClr val="tx1"/>
                </a:solidFill>
              </a:rPr>
              <a:t>Inflación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7'!$P$3</c:f>
              <c:strCache>
                <c:ptCount val="1"/>
                <c:pt idx="0">
                  <c:v>Inflación (Promedio)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pattFill prst="trellis">
                <a:fgClr>
                  <a:schemeClr val="accent1">
                    <a:lumMod val="50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ACC-4348-8135-DF6251F8C761}"/>
              </c:ext>
            </c:extLst>
          </c:dPt>
          <c:dPt>
            <c:idx val="3"/>
            <c:invertIfNegative val="0"/>
            <c:bubble3D val="0"/>
            <c:spPr>
              <a:pattFill prst="trellis">
                <a:fgClr>
                  <a:schemeClr val="accent1">
                    <a:lumMod val="50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ACC-4348-8135-DF6251F8C761}"/>
              </c:ext>
            </c:extLst>
          </c:dPt>
          <c:dLbls>
            <c:dLbl>
              <c:idx val="3"/>
              <c:layout>
                <c:manualLayout>
                  <c:x val="-1.545893719806763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ACC-4348-8135-DF6251F8C76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7'!$Q$2:$T$2</c:f>
              <c:strCache>
                <c:ptCount val="4"/>
                <c:pt idx="0">
                  <c:v>2019</c:v>
                </c:pt>
                <c:pt idx="1">
                  <c:v>PGE 2020</c:v>
                </c:pt>
                <c:pt idx="2">
                  <c:v>2020*</c:v>
                </c:pt>
                <c:pt idx="3">
                  <c:v>2021*</c:v>
                </c:pt>
              </c:strCache>
            </c:strRef>
          </c:cat>
          <c:val>
            <c:numRef>
              <c:f>'Gráfico 7'!$Q$3:$T$3</c:f>
              <c:numCache>
                <c:formatCode>0.0%</c:formatCode>
                <c:ptCount val="4"/>
                <c:pt idx="0">
                  <c:v>1.8100000000000002E-2</c:v>
                </c:pt>
                <c:pt idx="1">
                  <c:v>0.04</c:v>
                </c:pt>
                <c:pt idx="2">
                  <c:v>0.02</c:v>
                </c:pt>
                <c:pt idx="3">
                  <c:v>0.04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ACC-4348-8135-DF6251F8C761}"/>
            </c:ext>
          </c:extLst>
        </c:ser>
        <c:ser>
          <c:idx val="1"/>
          <c:order val="1"/>
          <c:tx>
            <c:strRef>
              <c:f>'Gráfico 7'!$P$4</c:f>
              <c:strCache>
                <c:ptCount val="1"/>
                <c:pt idx="0">
                  <c:v>Inflación (diciembre)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pattFill prst="trellis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5ACC-4348-8135-DF6251F8C761}"/>
              </c:ext>
            </c:extLst>
          </c:dPt>
          <c:dPt>
            <c:idx val="3"/>
            <c:invertIfNegative val="0"/>
            <c:bubble3D val="0"/>
            <c:spPr>
              <a:pattFill prst="trellis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5ACC-4348-8135-DF6251F8C761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7'!$Q$2:$T$2</c:f>
              <c:strCache>
                <c:ptCount val="4"/>
                <c:pt idx="0">
                  <c:v>2019</c:v>
                </c:pt>
                <c:pt idx="1">
                  <c:v>PGE 2020</c:v>
                </c:pt>
                <c:pt idx="2">
                  <c:v>2020*</c:v>
                </c:pt>
                <c:pt idx="3">
                  <c:v>2021*</c:v>
                </c:pt>
              </c:strCache>
            </c:strRef>
          </c:cat>
          <c:val>
            <c:numRef>
              <c:f>'Gráfico 7'!$Q$4:$T$4</c:f>
              <c:numCache>
                <c:formatCode>0.0%</c:formatCode>
                <c:ptCount val="4"/>
                <c:pt idx="0">
                  <c:v>3.6600000000000001E-2</c:v>
                </c:pt>
                <c:pt idx="1">
                  <c:v>0.04</c:v>
                </c:pt>
                <c:pt idx="2">
                  <c:v>2.5000000000000001E-2</c:v>
                </c:pt>
                <c:pt idx="3">
                  <c:v>0.04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5ACC-4348-8135-DF6251F8C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701269024"/>
        <c:axId val="-701272288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'Gráfico 7'!$P$5</c15:sqref>
                        </c15:formulaRef>
                      </c:ext>
                    </c:extLst>
                    <c:strCache>
                      <c:ptCount val="1"/>
                      <c:pt idx="0">
                        <c:v>Tasa de Cambio (Promedio)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'Gráfico 7'!$Q$2:$T$2</c15:sqref>
                        </c15:formulaRef>
                      </c:ext>
                    </c:extLst>
                    <c:strCache>
                      <c:ptCount val="4"/>
                      <c:pt idx="0">
                        <c:v>2019</c:v>
                      </c:pt>
                      <c:pt idx="1">
                        <c:v>PGE 2020</c:v>
                      </c:pt>
                      <c:pt idx="2">
                        <c:v>2020*</c:v>
                      </c:pt>
                      <c:pt idx="3">
                        <c:v>2021*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'Gráfico 7'!$Q$5:$T$5</c15:sqref>
                        </c15:formulaRef>
                      </c:ext>
                    </c:extLst>
                    <c:numCache>
                      <c:formatCode>0.0</c:formatCode>
                      <c:ptCount val="4"/>
                      <c:pt idx="0" formatCode="0.00">
                        <c:v>51.3</c:v>
                      </c:pt>
                      <c:pt idx="1">
                        <c:v>53.56</c:v>
                      </c:pt>
                      <c:pt idx="2">
                        <c:v>57.05</c:v>
                      </c:pt>
                      <c:pt idx="3">
                        <c:v>59.33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A-5ACC-4348-8135-DF6251F8C76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7'!$P$6</c15:sqref>
                        </c15:formulaRef>
                      </c:ext>
                    </c:extLst>
                    <c:strCache>
                      <c:ptCount val="1"/>
                      <c:pt idx="0">
                        <c:v>Crecimiento PIB real EEUU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7'!$Q$2:$T$2</c15:sqref>
                        </c15:formulaRef>
                      </c:ext>
                    </c:extLst>
                    <c:strCache>
                      <c:ptCount val="4"/>
                      <c:pt idx="0">
                        <c:v>2019</c:v>
                      </c:pt>
                      <c:pt idx="1">
                        <c:v>PGE 2020</c:v>
                      </c:pt>
                      <c:pt idx="2">
                        <c:v>2020*</c:v>
                      </c:pt>
                      <c:pt idx="3">
                        <c:v>2021*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7'!$Q$6:$T$6</c15:sqref>
                        </c15:formulaRef>
                      </c:ext>
                    </c:extLst>
                    <c:numCache>
                      <c:formatCode>0.0%</c:formatCode>
                      <c:ptCount val="4"/>
                      <c:pt idx="0">
                        <c:v>2.3E-2</c:v>
                      </c:pt>
                      <c:pt idx="1">
                        <c:v>1.9E-2</c:v>
                      </c:pt>
                      <c:pt idx="2">
                        <c:v>-5.3999999999999999E-2</c:v>
                      </c:pt>
                      <c:pt idx="3">
                        <c:v>4.2999999999999997E-2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B-5ACC-4348-8135-DF6251F8C76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7'!$P$7</c15:sqref>
                        </c15:formulaRef>
                      </c:ext>
                    </c:extLst>
                    <c:strCache>
                      <c:ptCount val="1"/>
                      <c:pt idx="0">
                        <c:v>Crecimiento PIB real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7'!$Q$2:$T$2</c15:sqref>
                        </c15:formulaRef>
                      </c:ext>
                    </c:extLst>
                    <c:strCache>
                      <c:ptCount val="4"/>
                      <c:pt idx="0">
                        <c:v>2019</c:v>
                      </c:pt>
                      <c:pt idx="1">
                        <c:v>PGE 2020</c:v>
                      </c:pt>
                      <c:pt idx="2">
                        <c:v>2020*</c:v>
                      </c:pt>
                      <c:pt idx="3">
                        <c:v>2021*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7'!$Q$7:$T$7</c15:sqref>
                        </c15:formulaRef>
                      </c:ext>
                    </c:extLst>
                    <c:numCache>
                      <c:formatCode>0.0%</c:formatCode>
                      <c:ptCount val="4"/>
                      <c:pt idx="0">
                        <c:v>5.0999999999999997E-2</c:v>
                      </c:pt>
                      <c:pt idx="1">
                        <c:v>0.05</c:v>
                      </c:pt>
                      <c:pt idx="2">
                        <c:v>0</c:v>
                      </c:pt>
                      <c:pt idx="3">
                        <c:v>0.05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C-5ACC-4348-8135-DF6251F8C761}"/>
                  </c:ext>
                </c:extLst>
              </c15:ser>
            </c15:filteredBarSeries>
          </c:ext>
        </c:extLst>
      </c:barChart>
      <c:catAx>
        <c:axId val="-701269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01272288"/>
        <c:crosses val="autoZero"/>
        <c:auto val="1"/>
        <c:lblAlgn val="ctr"/>
        <c:lblOffset val="100"/>
        <c:noMultiLvlLbl val="0"/>
      </c:catAx>
      <c:valAx>
        <c:axId val="-70127228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-701269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>
                <a:solidFill>
                  <a:schemeClr val="tx1"/>
                </a:solidFill>
              </a:rPr>
              <a:t>Tasa</a:t>
            </a:r>
            <a:r>
              <a:rPr lang="es-DO" b="1" baseline="0">
                <a:solidFill>
                  <a:schemeClr val="tx1"/>
                </a:solidFill>
              </a:rPr>
              <a:t> de Cambio</a:t>
            </a:r>
            <a:endParaRPr lang="es-DO" b="1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'Gráfico 7'!$P$5</c:f>
              <c:strCache>
                <c:ptCount val="1"/>
                <c:pt idx="0">
                  <c:v>Tasa de Cambio (Promedio)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pattFill prst="trellis">
                <a:fgClr>
                  <a:schemeClr val="tx2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B45-4613-8FB8-DA9C4899B5B7}"/>
              </c:ext>
            </c:extLst>
          </c:dPt>
          <c:dPt>
            <c:idx val="3"/>
            <c:invertIfNegative val="0"/>
            <c:bubble3D val="0"/>
            <c:spPr>
              <a:pattFill prst="trellis">
                <a:fgClr>
                  <a:schemeClr val="tx2">
                    <a:lumMod val="7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B45-4613-8FB8-DA9C4899B5B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7'!$Q$2:$T$2</c:f>
              <c:strCache>
                <c:ptCount val="4"/>
                <c:pt idx="0">
                  <c:v>2019</c:v>
                </c:pt>
                <c:pt idx="1">
                  <c:v>PGE 2020</c:v>
                </c:pt>
                <c:pt idx="2">
                  <c:v>2020*</c:v>
                </c:pt>
                <c:pt idx="3">
                  <c:v>2021*</c:v>
                </c:pt>
              </c:strCache>
            </c:strRef>
          </c:cat>
          <c:val>
            <c:numRef>
              <c:f>'Gráfico 7'!$Q$5:$T$5</c:f>
              <c:numCache>
                <c:formatCode>0.0</c:formatCode>
                <c:ptCount val="4"/>
                <c:pt idx="0" formatCode="0.00">
                  <c:v>51.3</c:v>
                </c:pt>
                <c:pt idx="1">
                  <c:v>53.56</c:v>
                </c:pt>
                <c:pt idx="2">
                  <c:v>57.05</c:v>
                </c:pt>
                <c:pt idx="3">
                  <c:v>59.33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B45-4613-8FB8-DA9C4899B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701274464"/>
        <c:axId val="-701270656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'Gráfico 7'!$P$3</c15:sqref>
                        </c15:formulaRef>
                      </c:ext>
                    </c:extLst>
                    <c:strCache>
                      <c:ptCount val="1"/>
                      <c:pt idx="0">
                        <c:v>Inflación (Promedio)</c:v>
                      </c:pt>
                    </c:strCache>
                  </c:strRef>
                </c:tx>
                <c:spPr>
                  <a:solidFill>
                    <a:schemeClr val="accent1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Pt>
                  <c:idx val="2"/>
                  <c:invertIfNegative val="0"/>
                  <c:bubble3D val="0"/>
                  <c:spPr>
                    <a:pattFill prst="trellis">
                      <a:fgClr>
                        <a:schemeClr val="accent1">
                          <a:lumMod val="50000"/>
                        </a:schemeClr>
                      </a:fgClr>
                      <a:bgClr>
                        <a:schemeClr val="bg1"/>
                      </a:bgClr>
                    </a:pattFill>
                    <a:ln>
                      <a:noFill/>
                    </a:ln>
                    <a:effectLst/>
                  </c:spPr>
                  <c:extLst xmlns:c16r2="http://schemas.microsoft.com/office/drawing/2015/06/chart">
                    <c:ext xmlns:c16="http://schemas.microsoft.com/office/drawing/2014/chart" uri="{C3380CC4-5D6E-409C-BE32-E72D297353CC}">
                      <c16:uniqueId val="{00000006-EB45-4613-8FB8-DA9C4899B5B7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pattFill prst="trellis">
                      <a:fgClr>
                        <a:schemeClr val="accent1">
                          <a:lumMod val="50000"/>
                        </a:schemeClr>
                      </a:fgClr>
                      <a:bgClr>
                        <a:schemeClr val="bg1"/>
                      </a:bgClr>
                    </a:pattFill>
                    <a:ln>
                      <a:noFill/>
                    </a:ln>
                    <a:effectLst/>
                  </c:spPr>
                  <c:extLst xmlns:c16r2="http://schemas.microsoft.com/office/drawing/2015/06/chart">
                    <c:ext xmlns:c16="http://schemas.microsoft.com/office/drawing/2014/chart" uri="{C3380CC4-5D6E-409C-BE32-E72D297353CC}">
                      <c16:uniqueId val="{00000008-EB45-4613-8FB8-DA9C4899B5B7}"/>
                    </c:ext>
                  </c:extLst>
                </c:dPt>
                <c:dLbls>
                  <c:numFmt formatCode="_(* #,##0.00_);_(* \(#,##0.00\);_(* &quot;-&quot;??_);_(@_)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'Gráfico 7'!$Q$2:$T$2</c15:sqref>
                        </c15:formulaRef>
                      </c:ext>
                    </c:extLst>
                    <c:strCache>
                      <c:ptCount val="4"/>
                      <c:pt idx="0">
                        <c:v>2019</c:v>
                      </c:pt>
                      <c:pt idx="1">
                        <c:v>PGE 2020</c:v>
                      </c:pt>
                      <c:pt idx="2">
                        <c:v>2020*</c:v>
                      </c:pt>
                      <c:pt idx="3">
                        <c:v>2021*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'Gráfico 7'!$Q$3:$T$3</c15:sqref>
                        </c15:formulaRef>
                      </c:ext>
                    </c:extLst>
                    <c:numCache>
                      <c:formatCode>0.0%</c:formatCode>
                      <c:ptCount val="4"/>
                      <c:pt idx="0">
                        <c:v>1.8100000000000002E-2</c:v>
                      </c:pt>
                      <c:pt idx="1">
                        <c:v>0.04</c:v>
                      </c:pt>
                      <c:pt idx="2">
                        <c:v>0.02</c:v>
                      </c:pt>
                      <c:pt idx="3">
                        <c:v>0.04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9-EB45-4613-8FB8-DA9C4899B5B7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7'!$P$4</c15:sqref>
                        </c15:formulaRef>
                      </c:ext>
                    </c:extLst>
                    <c:strCache>
                      <c:ptCount val="1"/>
                      <c:pt idx="0">
                        <c:v>Inflación (diciembre)</c:v>
                      </c:pt>
                    </c:strCache>
                  </c:strRef>
                </c:tx>
                <c:spPr>
                  <a:solidFill>
                    <a:schemeClr val="bg1">
                      <a:lumMod val="5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Pt>
                  <c:idx val="2"/>
                  <c:invertIfNegative val="0"/>
                  <c:bubble3D val="0"/>
                  <c:spPr>
                    <a:pattFill prst="trellis">
                      <a:fgClr>
                        <a:schemeClr val="bg1">
                          <a:lumMod val="50000"/>
                        </a:schemeClr>
                      </a:fgClr>
                      <a:bgClr>
                        <a:schemeClr val="bg1"/>
                      </a:bgClr>
                    </a:pattFill>
                    <a:ln>
                      <a:noFill/>
                    </a:ln>
                    <a:effectLst/>
                  </c:spPr>
                  <c:extLst xmlns:c16r2="http://schemas.microsoft.com/office/drawing/2015/06/chart" xmlns:c15="http://schemas.microsoft.com/office/drawing/2012/chart">
                    <c:ext xmlns:c16="http://schemas.microsoft.com/office/drawing/2014/chart" uri="{C3380CC4-5D6E-409C-BE32-E72D297353CC}">
                      <c16:uniqueId val="{0000000B-EB45-4613-8FB8-DA9C4899B5B7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pattFill prst="trellis">
                      <a:fgClr>
                        <a:schemeClr val="bg1">
                          <a:lumMod val="50000"/>
                        </a:schemeClr>
                      </a:fgClr>
                      <a:bgClr>
                        <a:schemeClr val="bg1"/>
                      </a:bgClr>
                    </a:pattFill>
                    <a:ln>
                      <a:noFill/>
                    </a:ln>
                    <a:effectLst/>
                  </c:spPr>
                  <c:extLst xmlns:c16r2="http://schemas.microsoft.com/office/drawing/2015/06/chart" xmlns:c15="http://schemas.microsoft.com/office/drawing/2012/chart">
                    <c:ext xmlns:c16="http://schemas.microsoft.com/office/drawing/2014/chart" uri="{C3380CC4-5D6E-409C-BE32-E72D297353CC}">
                      <c16:uniqueId val="{0000000D-EB45-4613-8FB8-DA9C4899B5B7}"/>
                    </c:ext>
                  </c:extLst>
                </c:dPt>
                <c:dLbls>
                  <c:numFmt formatCode="#,##0.00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7'!$Q$2:$T$2</c15:sqref>
                        </c15:formulaRef>
                      </c:ext>
                    </c:extLst>
                    <c:strCache>
                      <c:ptCount val="4"/>
                      <c:pt idx="0">
                        <c:v>2019</c:v>
                      </c:pt>
                      <c:pt idx="1">
                        <c:v>PGE 2020</c:v>
                      </c:pt>
                      <c:pt idx="2">
                        <c:v>2020*</c:v>
                      </c:pt>
                      <c:pt idx="3">
                        <c:v>2021*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7'!$Q$4:$T$4</c15:sqref>
                        </c15:formulaRef>
                      </c:ext>
                    </c:extLst>
                    <c:numCache>
                      <c:formatCode>0.0%</c:formatCode>
                      <c:ptCount val="4"/>
                      <c:pt idx="0">
                        <c:v>3.6600000000000001E-2</c:v>
                      </c:pt>
                      <c:pt idx="1">
                        <c:v>0.04</c:v>
                      </c:pt>
                      <c:pt idx="2">
                        <c:v>2.5000000000000001E-2</c:v>
                      </c:pt>
                      <c:pt idx="3">
                        <c:v>0.04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E-EB45-4613-8FB8-DA9C4899B5B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7'!$P$6</c15:sqref>
                        </c15:formulaRef>
                      </c:ext>
                    </c:extLst>
                    <c:strCache>
                      <c:ptCount val="1"/>
                      <c:pt idx="0">
                        <c:v>Crecimiento PIB real EEUU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7'!$Q$2:$T$2</c15:sqref>
                        </c15:formulaRef>
                      </c:ext>
                    </c:extLst>
                    <c:strCache>
                      <c:ptCount val="4"/>
                      <c:pt idx="0">
                        <c:v>2019</c:v>
                      </c:pt>
                      <c:pt idx="1">
                        <c:v>PGE 2020</c:v>
                      </c:pt>
                      <c:pt idx="2">
                        <c:v>2020*</c:v>
                      </c:pt>
                      <c:pt idx="3">
                        <c:v>2021*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7'!$Q$6:$T$6</c15:sqref>
                        </c15:formulaRef>
                      </c:ext>
                    </c:extLst>
                    <c:numCache>
                      <c:formatCode>0.0%</c:formatCode>
                      <c:ptCount val="4"/>
                      <c:pt idx="0">
                        <c:v>2.3E-2</c:v>
                      </c:pt>
                      <c:pt idx="1">
                        <c:v>1.9E-2</c:v>
                      </c:pt>
                      <c:pt idx="2">
                        <c:v>-5.3999999999999999E-2</c:v>
                      </c:pt>
                      <c:pt idx="3">
                        <c:v>4.2999999999999997E-2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F-EB45-4613-8FB8-DA9C4899B5B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7'!$P$7</c15:sqref>
                        </c15:formulaRef>
                      </c:ext>
                    </c:extLst>
                    <c:strCache>
                      <c:ptCount val="1"/>
                      <c:pt idx="0">
                        <c:v>Crecimiento PIB real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7'!$Q$2:$T$2</c15:sqref>
                        </c15:formulaRef>
                      </c:ext>
                    </c:extLst>
                    <c:strCache>
                      <c:ptCount val="4"/>
                      <c:pt idx="0">
                        <c:v>2019</c:v>
                      </c:pt>
                      <c:pt idx="1">
                        <c:v>PGE 2020</c:v>
                      </c:pt>
                      <c:pt idx="2">
                        <c:v>2020*</c:v>
                      </c:pt>
                      <c:pt idx="3">
                        <c:v>2021*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7'!$Q$7:$T$7</c15:sqref>
                        </c15:formulaRef>
                      </c:ext>
                    </c:extLst>
                    <c:numCache>
                      <c:formatCode>0.0%</c:formatCode>
                      <c:ptCount val="4"/>
                      <c:pt idx="0">
                        <c:v>5.0999999999999997E-2</c:v>
                      </c:pt>
                      <c:pt idx="1">
                        <c:v>0.05</c:v>
                      </c:pt>
                      <c:pt idx="2">
                        <c:v>0</c:v>
                      </c:pt>
                      <c:pt idx="3">
                        <c:v>0.05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10-EB45-4613-8FB8-DA9C4899B5B7}"/>
                  </c:ext>
                </c:extLst>
              </c15:ser>
            </c15:filteredBarSeries>
          </c:ext>
        </c:extLst>
      </c:barChart>
      <c:catAx>
        <c:axId val="-70127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01270656"/>
        <c:crosses val="autoZero"/>
        <c:auto val="1"/>
        <c:lblAlgn val="ctr"/>
        <c:lblOffset val="100"/>
        <c:noMultiLvlLbl val="0"/>
      </c:catAx>
      <c:valAx>
        <c:axId val="-701270656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-70127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>
                <a:solidFill>
                  <a:schemeClr val="tx1"/>
                </a:solidFill>
              </a:rPr>
              <a:t>Crecimiento</a:t>
            </a:r>
            <a:r>
              <a:rPr lang="es-DO" b="1" baseline="0">
                <a:solidFill>
                  <a:schemeClr val="tx1"/>
                </a:solidFill>
              </a:rPr>
              <a:t> PIB EEUU</a:t>
            </a:r>
            <a:endParaRPr lang="es-DO" b="1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4591194968553458E-2"/>
          <c:y val="0.37078703703703703"/>
          <c:w val="0.9308176100628931"/>
          <c:h val="0.44854272869190542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'Gráfico 7'!$P$6</c:f>
              <c:strCache>
                <c:ptCount val="1"/>
                <c:pt idx="0">
                  <c:v>Crecimiento PIB real EEUU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pattFill prst="trellis">
                <a:fgClr>
                  <a:schemeClr val="tx2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342-43B4-8696-787F80F165A9}"/>
              </c:ext>
            </c:extLst>
          </c:dPt>
          <c:dPt>
            <c:idx val="3"/>
            <c:invertIfNegative val="0"/>
            <c:bubble3D val="0"/>
            <c:spPr>
              <a:pattFill prst="trellis">
                <a:fgClr>
                  <a:schemeClr val="tx2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342-43B4-8696-787F80F165A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7'!$Q$2:$T$2</c:f>
              <c:strCache>
                <c:ptCount val="4"/>
                <c:pt idx="0">
                  <c:v>2019</c:v>
                </c:pt>
                <c:pt idx="1">
                  <c:v>PGE 2020</c:v>
                </c:pt>
                <c:pt idx="2">
                  <c:v>2020*</c:v>
                </c:pt>
                <c:pt idx="3">
                  <c:v>2021*</c:v>
                </c:pt>
              </c:strCache>
            </c:strRef>
          </c:cat>
          <c:val>
            <c:numRef>
              <c:f>'Gráfico 7'!$Q$6:$T$6</c:f>
              <c:numCache>
                <c:formatCode>0.0%</c:formatCode>
                <c:ptCount val="4"/>
                <c:pt idx="0">
                  <c:v>2.3E-2</c:v>
                </c:pt>
                <c:pt idx="1">
                  <c:v>1.9E-2</c:v>
                </c:pt>
                <c:pt idx="2">
                  <c:v>-5.3999999999999999E-2</c:v>
                </c:pt>
                <c:pt idx="3">
                  <c:v>4.2999999999999997E-2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342-43B4-8696-787F80F16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701273920"/>
        <c:axId val="-701271744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'Gráfico 7'!$P$3</c15:sqref>
                        </c15:formulaRef>
                      </c:ext>
                    </c:extLst>
                    <c:strCache>
                      <c:ptCount val="1"/>
                      <c:pt idx="0">
                        <c:v>Inflación (Promedio)</c:v>
                      </c:pt>
                    </c:strCache>
                  </c:strRef>
                </c:tx>
                <c:spPr>
                  <a:solidFill>
                    <a:schemeClr val="tx2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Pt>
                  <c:idx val="2"/>
                  <c:invertIfNegative val="0"/>
                  <c:bubble3D val="0"/>
                  <c:spPr>
                    <a:pattFill prst="trellis">
                      <a:fgClr>
                        <a:schemeClr val="tx2">
                          <a:lumMod val="40000"/>
                          <a:lumOff val="60000"/>
                        </a:schemeClr>
                      </a:fgClr>
                      <a:bgClr>
                        <a:schemeClr val="bg1"/>
                      </a:bgClr>
                    </a:pattFill>
                    <a:ln>
                      <a:noFill/>
                    </a:ln>
                    <a:effectLst/>
                  </c:spPr>
                  <c:extLst xmlns:c16r2="http://schemas.microsoft.com/office/drawing/2015/06/chart">
                    <c:ext xmlns:c16="http://schemas.microsoft.com/office/drawing/2014/chart" uri="{C3380CC4-5D6E-409C-BE32-E72D297353CC}">
                      <c16:uniqueId val="{00000006-1342-43B4-8696-787F80F165A9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pattFill prst="trellis">
                      <a:fgClr>
                        <a:schemeClr val="tx2">
                          <a:lumMod val="40000"/>
                          <a:lumOff val="60000"/>
                        </a:schemeClr>
                      </a:fgClr>
                      <a:bgClr>
                        <a:schemeClr val="bg1"/>
                      </a:bgClr>
                    </a:pattFill>
                    <a:ln>
                      <a:noFill/>
                    </a:ln>
                    <a:effectLst/>
                  </c:spPr>
                  <c:extLst xmlns:c16r2="http://schemas.microsoft.com/office/drawing/2015/06/chart">
                    <c:ext xmlns:c16="http://schemas.microsoft.com/office/drawing/2014/chart" uri="{C3380CC4-5D6E-409C-BE32-E72D297353CC}">
                      <c16:uniqueId val="{00000008-1342-43B4-8696-787F80F165A9}"/>
                    </c:ext>
                  </c:extLst>
                </c:dPt>
                <c:dLbls>
                  <c:numFmt formatCode="0.0%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'Gráfico 7'!$Q$2:$T$2</c15:sqref>
                        </c15:formulaRef>
                      </c:ext>
                    </c:extLst>
                    <c:strCache>
                      <c:ptCount val="4"/>
                      <c:pt idx="0">
                        <c:v>2019</c:v>
                      </c:pt>
                      <c:pt idx="1">
                        <c:v>PGE 2020</c:v>
                      </c:pt>
                      <c:pt idx="2">
                        <c:v>2020*</c:v>
                      </c:pt>
                      <c:pt idx="3">
                        <c:v>2021*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'Gráfico 7'!$Q$3:$T$3</c15:sqref>
                        </c15:formulaRef>
                      </c:ext>
                    </c:extLst>
                    <c:numCache>
                      <c:formatCode>0.0%</c:formatCode>
                      <c:ptCount val="4"/>
                      <c:pt idx="0">
                        <c:v>1.8100000000000002E-2</c:v>
                      </c:pt>
                      <c:pt idx="1">
                        <c:v>0.04</c:v>
                      </c:pt>
                      <c:pt idx="2">
                        <c:v>0.02</c:v>
                      </c:pt>
                      <c:pt idx="3">
                        <c:v>0.04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9-1342-43B4-8696-787F80F165A9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7'!$P$4</c15:sqref>
                        </c15:formulaRef>
                      </c:ext>
                    </c:extLst>
                    <c:strCache>
                      <c:ptCount val="1"/>
                      <c:pt idx="0">
                        <c:v>Inflación (diciembre)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7'!$Q$2:$T$2</c15:sqref>
                        </c15:formulaRef>
                      </c:ext>
                    </c:extLst>
                    <c:strCache>
                      <c:ptCount val="4"/>
                      <c:pt idx="0">
                        <c:v>2019</c:v>
                      </c:pt>
                      <c:pt idx="1">
                        <c:v>PGE 2020</c:v>
                      </c:pt>
                      <c:pt idx="2">
                        <c:v>2020*</c:v>
                      </c:pt>
                      <c:pt idx="3">
                        <c:v>2021*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7'!$Q$4:$T$4</c15:sqref>
                        </c15:formulaRef>
                      </c:ext>
                    </c:extLst>
                    <c:numCache>
                      <c:formatCode>0.0%</c:formatCode>
                      <c:ptCount val="4"/>
                      <c:pt idx="0">
                        <c:v>3.6600000000000001E-2</c:v>
                      </c:pt>
                      <c:pt idx="1">
                        <c:v>0.04</c:v>
                      </c:pt>
                      <c:pt idx="2">
                        <c:v>2.5000000000000001E-2</c:v>
                      </c:pt>
                      <c:pt idx="3">
                        <c:v>0.04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A-1342-43B4-8696-787F80F165A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7'!$P$5</c15:sqref>
                        </c15:formulaRef>
                      </c:ext>
                    </c:extLst>
                    <c:strCache>
                      <c:ptCount val="1"/>
                      <c:pt idx="0">
                        <c:v>Tasa de Cambio (Promedio)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7'!$Q$2:$T$2</c15:sqref>
                        </c15:formulaRef>
                      </c:ext>
                    </c:extLst>
                    <c:strCache>
                      <c:ptCount val="4"/>
                      <c:pt idx="0">
                        <c:v>2019</c:v>
                      </c:pt>
                      <c:pt idx="1">
                        <c:v>PGE 2020</c:v>
                      </c:pt>
                      <c:pt idx="2">
                        <c:v>2020*</c:v>
                      </c:pt>
                      <c:pt idx="3">
                        <c:v>2021*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7'!$Q$5:$T$5</c15:sqref>
                        </c15:formulaRef>
                      </c:ext>
                    </c:extLst>
                    <c:numCache>
                      <c:formatCode>0.0</c:formatCode>
                      <c:ptCount val="4"/>
                      <c:pt idx="0" formatCode="0.00">
                        <c:v>51.3</c:v>
                      </c:pt>
                      <c:pt idx="1">
                        <c:v>53.56</c:v>
                      </c:pt>
                      <c:pt idx="2">
                        <c:v>57.05</c:v>
                      </c:pt>
                      <c:pt idx="3">
                        <c:v>59.33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B-1342-43B4-8696-787F80F165A9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7'!$P$7</c15:sqref>
                        </c15:formulaRef>
                      </c:ext>
                    </c:extLst>
                    <c:strCache>
                      <c:ptCount val="1"/>
                      <c:pt idx="0">
                        <c:v>Crecimiento PIB real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7'!$Q$2:$T$2</c15:sqref>
                        </c15:formulaRef>
                      </c:ext>
                    </c:extLst>
                    <c:strCache>
                      <c:ptCount val="4"/>
                      <c:pt idx="0">
                        <c:v>2019</c:v>
                      </c:pt>
                      <c:pt idx="1">
                        <c:v>PGE 2020</c:v>
                      </c:pt>
                      <c:pt idx="2">
                        <c:v>2020*</c:v>
                      </c:pt>
                      <c:pt idx="3">
                        <c:v>2021*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'Gráfico 7'!$Q$7:$T$7</c15:sqref>
                        </c15:formulaRef>
                      </c:ext>
                    </c:extLst>
                    <c:numCache>
                      <c:formatCode>0.0%</c:formatCode>
                      <c:ptCount val="4"/>
                      <c:pt idx="0">
                        <c:v>5.0999999999999997E-2</c:v>
                      </c:pt>
                      <c:pt idx="1">
                        <c:v>0.05</c:v>
                      </c:pt>
                      <c:pt idx="2">
                        <c:v>0</c:v>
                      </c:pt>
                      <c:pt idx="3">
                        <c:v>0.05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C-1342-43B4-8696-787F80F165A9}"/>
                  </c:ext>
                </c:extLst>
              </c15:ser>
            </c15:filteredBarSeries>
          </c:ext>
        </c:extLst>
      </c:barChart>
      <c:catAx>
        <c:axId val="-70127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701271744"/>
        <c:crosses val="autoZero"/>
        <c:auto val="1"/>
        <c:lblAlgn val="ctr"/>
        <c:lblOffset val="100"/>
        <c:noMultiLvlLbl val="0"/>
      </c:catAx>
      <c:valAx>
        <c:axId val="-701271744"/>
        <c:scaling>
          <c:orientation val="minMax"/>
          <c:min val="-8.0000000000000016E-2"/>
        </c:scaling>
        <c:delete val="1"/>
        <c:axPos val="l"/>
        <c:numFmt formatCode="0.0%" sourceLinked="1"/>
        <c:majorTickMark val="out"/>
        <c:minorTickMark val="none"/>
        <c:tickLblPos val="nextTo"/>
        <c:crossAx val="-701273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5</xdr:row>
      <xdr:rowOff>0</xdr:rowOff>
    </xdr:from>
    <xdr:to>
      <xdr:col>11</xdr:col>
      <xdr:colOff>466724</xdr:colOff>
      <xdr:row>23</xdr:row>
      <xdr:rowOff>58511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xmlns="" id="{71CBA139-1062-4672-A014-A60AE6ECF1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11</xdr:col>
      <xdr:colOff>0</xdr:colOff>
      <xdr:row>20</xdr:row>
      <xdr:rowOff>180975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xmlns="" id="{62C5BEA0-D461-4F6F-9023-8AA1226107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5</xdr:row>
      <xdr:rowOff>0</xdr:rowOff>
    </xdr:from>
    <xdr:to>
      <xdr:col>11</xdr:col>
      <xdr:colOff>600075</xdr:colOff>
      <xdr:row>18</xdr:row>
      <xdr:rowOff>85725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xmlns="" id="{0CBEDBBD-718F-40AE-8A06-B272624431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16</xdr:col>
      <xdr:colOff>437648</xdr:colOff>
      <xdr:row>26</xdr:row>
      <xdr:rowOff>168048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xmlns="" id="{70C41145-BCF4-4842-8E2F-B23BB6201A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5</xdr:row>
      <xdr:rowOff>76200</xdr:rowOff>
    </xdr:from>
    <xdr:to>
      <xdr:col>15</xdr:col>
      <xdr:colOff>530575</xdr:colOff>
      <xdr:row>27</xdr:row>
      <xdr:rowOff>50941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6D76A669-0A12-4AF1-9B9C-A7CAB86CD9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21</xdr:col>
      <xdr:colOff>1</xdr:colOff>
      <xdr:row>21</xdr:row>
      <xdr:rowOff>58617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xmlns="" id="{468DAB52-FF4E-488E-B410-DCE275753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3887</xdr:colOff>
      <xdr:row>5</xdr:row>
      <xdr:rowOff>9720</xdr:rowOff>
    </xdr:from>
    <xdr:to>
      <xdr:col>6</xdr:col>
      <xdr:colOff>492863</xdr:colOff>
      <xdr:row>17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348CD8C9-67B0-4540-92FA-9BDECB8FCA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26648</xdr:colOff>
      <xdr:row>17</xdr:row>
      <xdr:rowOff>36459</xdr:rowOff>
    </xdr:from>
    <xdr:to>
      <xdr:col>6</xdr:col>
      <xdr:colOff>467264</xdr:colOff>
      <xdr:row>28</xdr:row>
      <xdr:rowOff>77756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5C464EBF-7A48-4BE5-A51C-AD5286833C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476250</xdr:colOff>
      <xdr:row>16</xdr:row>
      <xdr:rowOff>184668</xdr:rowOff>
    </xdr:from>
    <xdr:to>
      <xdr:col>11</xdr:col>
      <xdr:colOff>745825</xdr:colOff>
      <xdr:row>28</xdr:row>
      <xdr:rowOff>155510</xdr:rowOff>
    </xdr:to>
    <xdr:graphicFrame macro="">
      <xdr:nvGraphicFramePr>
        <xdr:cNvPr id="4" name="Gráfico 4">
          <a:extLst>
            <a:ext uri="{FF2B5EF4-FFF2-40B4-BE49-F238E27FC236}">
              <a16:creationId xmlns:a16="http://schemas.microsoft.com/office/drawing/2014/main" xmlns="" id="{C1A63AEB-461A-47E9-AEF1-4D0DB79B17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477718</xdr:colOff>
      <xdr:row>5</xdr:row>
      <xdr:rowOff>9720</xdr:rowOff>
    </xdr:from>
    <xdr:to>
      <xdr:col>12</xdr:col>
      <xdr:colOff>19439</xdr:colOff>
      <xdr:row>15</xdr:row>
      <xdr:rowOff>37409</xdr:rowOff>
    </xdr:to>
    <xdr:graphicFrame macro="">
      <xdr:nvGraphicFramePr>
        <xdr:cNvPr id="5" name="Gráfico 10">
          <a:extLst>
            <a:ext uri="{FF2B5EF4-FFF2-40B4-BE49-F238E27FC236}">
              <a16:creationId xmlns:a16="http://schemas.microsoft.com/office/drawing/2014/main" xmlns="" id="{11693BF4-6AB0-4C1F-95CE-541D1C8512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641480</xdr:colOff>
      <xdr:row>4</xdr:row>
      <xdr:rowOff>126352</xdr:rowOff>
    </xdr:from>
    <xdr:to>
      <xdr:col>12</xdr:col>
      <xdr:colOff>106914</xdr:colOff>
      <xdr:row>31</xdr:row>
      <xdr:rowOff>58316</xdr:rowOff>
    </xdr:to>
    <xdr:sp macro="" textlink="">
      <xdr:nvSpPr>
        <xdr:cNvPr id="6" name="Rectángulo 11">
          <a:extLst>
            <a:ext uri="{FF2B5EF4-FFF2-40B4-BE49-F238E27FC236}">
              <a16:creationId xmlns:a16="http://schemas.microsoft.com/office/drawing/2014/main" xmlns="" id="{427E330E-89EA-4C62-AA16-D79BA7F55FF0}"/>
            </a:ext>
          </a:extLst>
        </xdr:cNvPr>
        <xdr:cNvSpPr/>
      </xdr:nvSpPr>
      <xdr:spPr>
        <a:xfrm>
          <a:off x="641480" y="862952"/>
          <a:ext cx="9142834" cy="4904014"/>
        </a:xfrm>
        <a:prstGeom prst="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/>
      <sheetData sheetId="9"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W20"/>
  <sheetViews>
    <sheetView showGridLines="0" zoomScale="85" zoomScaleNormal="85" workbookViewId="0">
      <selection activeCell="B17" sqref="B17"/>
    </sheetView>
  </sheetViews>
  <sheetFormatPr baseColWidth="10" defaultColWidth="9.140625" defaultRowHeight="15"/>
  <cols>
    <col min="5" max="5" width="25.7109375" bestFit="1" customWidth="1"/>
    <col min="10" max="10" width="18.7109375" customWidth="1"/>
    <col min="11" max="11" width="17.140625" customWidth="1"/>
    <col min="21" max="21" width="25.7109375" bestFit="1" customWidth="1"/>
    <col min="22" max="22" width="15.85546875" bestFit="1" customWidth="1"/>
    <col min="23" max="23" width="14.85546875" bestFit="1" customWidth="1"/>
  </cols>
  <sheetData>
    <row r="2" spans="5:23">
      <c r="U2" s="141" t="s">
        <v>87</v>
      </c>
      <c r="V2" s="141" t="s">
        <v>229</v>
      </c>
      <c r="W2" s="140" t="s">
        <v>228</v>
      </c>
    </row>
    <row r="3" spans="5:23">
      <c r="U3" s="139" t="s">
        <v>227</v>
      </c>
      <c r="V3" s="126">
        <v>3.3</v>
      </c>
      <c r="W3" s="126">
        <v>-3</v>
      </c>
    </row>
    <row r="4" spans="5:23">
      <c r="E4" s="497" t="s">
        <v>233</v>
      </c>
      <c r="F4" s="497"/>
      <c r="G4" s="497"/>
      <c r="H4" s="497"/>
      <c r="I4" s="497"/>
      <c r="J4" s="497"/>
      <c r="K4" s="497"/>
      <c r="U4" s="138" t="s">
        <v>226</v>
      </c>
      <c r="V4" s="126">
        <v>1.6</v>
      </c>
      <c r="W4" s="126">
        <v>-6.1</v>
      </c>
    </row>
    <row r="5" spans="5:23">
      <c r="E5" s="497"/>
      <c r="F5" s="497"/>
      <c r="G5" s="497"/>
      <c r="H5" s="497"/>
      <c r="I5" s="497"/>
      <c r="J5" s="497"/>
      <c r="K5" s="497"/>
      <c r="U5" s="137" t="s">
        <v>225</v>
      </c>
      <c r="V5" s="126">
        <v>2</v>
      </c>
      <c r="W5" s="126">
        <v>-5.9</v>
      </c>
    </row>
    <row r="6" spans="5:23">
      <c r="E6" s="498"/>
      <c r="F6" s="498"/>
      <c r="G6" s="498"/>
      <c r="H6" s="498"/>
      <c r="I6" s="498"/>
      <c r="J6" s="498"/>
      <c r="K6" s="498"/>
      <c r="U6" s="137" t="s">
        <v>224</v>
      </c>
      <c r="V6" s="126">
        <v>1.3</v>
      </c>
      <c r="W6" s="126">
        <v>-7.5</v>
      </c>
    </row>
    <row r="7" spans="5:23">
      <c r="E7" s="499" t="s">
        <v>87</v>
      </c>
      <c r="F7" s="499">
        <v>2018</v>
      </c>
      <c r="G7" s="499">
        <v>2019</v>
      </c>
      <c r="H7" s="499" t="s">
        <v>232</v>
      </c>
      <c r="I7" s="499" t="s">
        <v>231</v>
      </c>
      <c r="J7" s="502" t="s">
        <v>230</v>
      </c>
      <c r="K7" s="503"/>
      <c r="U7" s="138" t="s">
        <v>223</v>
      </c>
      <c r="V7" s="126">
        <v>4.4000000000000004</v>
      </c>
      <c r="W7" s="126">
        <v>-1</v>
      </c>
    </row>
    <row r="8" spans="5:23">
      <c r="E8" s="500"/>
      <c r="F8" s="500"/>
      <c r="G8" s="500"/>
      <c r="H8" s="500"/>
      <c r="I8" s="500"/>
      <c r="J8" s="504"/>
      <c r="K8" s="505"/>
      <c r="U8" s="137" t="s">
        <v>222</v>
      </c>
      <c r="V8" s="126">
        <v>6</v>
      </c>
      <c r="W8" s="126">
        <v>1.2</v>
      </c>
    </row>
    <row r="9" spans="5:23">
      <c r="E9" s="501"/>
      <c r="F9" s="501"/>
      <c r="G9" s="501"/>
      <c r="H9" s="501"/>
      <c r="I9" s="500"/>
      <c r="J9" s="141" t="s">
        <v>229</v>
      </c>
      <c r="K9" s="140" t="s">
        <v>228</v>
      </c>
      <c r="U9" s="137" t="s">
        <v>221</v>
      </c>
      <c r="V9" s="126">
        <v>1.6</v>
      </c>
      <c r="W9" s="126">
        <v>-5.2</v>
      </c>
    </row>
    <row r="10" spans="5:23">
      <c r="E10" s="139" t="s">
        <v>227</v>
      </c>
      <c r="F10" s="136">
        <v>3.6</v>
      </c>
      <c r="G10" s="136">
        <v>2.9</v>
      </c>
      <c r="H10" s="136">
        <v>-4.9000000000000004</v>
      </c>
      <c r="I10" s="136">
        <v>5.4</v>
      </c>
      <c r="J10" s="135">
        <v>-8.1999999999999993</v>
      </c>
      <c r="K10" s="135">
        <v>-1.9000000000000004</v>
      </c>
      <c r="U10" s="134" t="s">
        <v>220</v>
      </c>
      <c r="V10" s="130" t="s">
        <v>219</v>
      </c>
      <c r="W10" s="130" t="s">
        <v>219</v>
      </c>
    </row>
    <row r="11" spans="5:23">
      <c r="E11" s="138" t="s">
        <v>226</v>
      </c>
      <c r="F11" s="136">
        <v>2.2000000000000002</v>
      </c>
      <c r="G11" s="136">
        <v>1.7</v>
      </c>
      <c r="H11" s="136">
        <v>-8</v>
      </c>
      <c r="I11" s="136">
        <v>4.8</v>
      </c>
      <c r="J11" s="135">
        <v>-9.6</v>
      </c>
      <c r="K11" s="135">
        <v>-1.9000000000000004</v>
      </c>
    </row>
    <row r="12" spans="5:23">
      <c r="E12" s="137" t="s">
        <v>225</v>
      </c>
      <c r="F12" s="136">
        <v>2.9</v>
      </c>
      <c r="G12" s="136">
        <v>2.2999999999999998</v>
      </c>
      <c r="H12" s="136">
        <v>-8</v>
      </c>
      <c r="I12" s="136">
        <v>4.5</v>
      </c>
      <c r="J12" s="135">
        <v>-10</v>
      </c>
      <c r="K12" s="135">
        <v>-2.0999999999999996</v>
      </c>
    </row>
    <row r="13" spans="5:23">
      <c r="E13" s="137" t="s">
        <v>224</v>
      </c>
      <c r="F13" s="136">
        <v>1.9</v>
      </c>
      <c r="G13" s="136">
        <v>1.3</v>
      </c>
      <c r="H13" s="136">
        <v>-10.199999999999999</v>
      </c>
      <c r="I13" s="136">
        <v>6</v>
      </c>
      <c r="J13" s="135">
        <v>-11.5</v>
      </c>
      <c r="K13" s="135">
        <v>-2.6999999999999993</v>
      </c>
    </row>
    <row r="14" spans="5:23">
      <c r="E14" s="138" t="s">
        <v>223</v>
      </c>
      <c r="F14" s="136">
        <v>4.5</v>
      </c>
      <c r="G14" s="136">
        <v>3.7</v>
      </c>
      <c r="H14" s="136">
        <v>-3</v>
      </c>
      <c r="I14" s="136">
        <v>5.9</v>
      </c>
      <c r="J14" s="135">
        <v>-7.4</v>
      </c>
      <c r="K14" s="135">
        <v>-2</v>
      </c>
    </row>
    <row r="15" spans="5:23">
      <c r="E15" s="137" t="s">
        <v>222</v>
      </c>
      <c r="F15" s="136">
        <v>6.7</v>
      </c>
      <c r="G15" s="136">
        <v>6.1</v>
      </c>
      <c r="H15" s="136">
        <v>1</v>
      </c>
      <c r="I15" s="136">
        <v>8.1999999999999993</v>
      </c>
      <c r="J15" s="135">
        <v>-5</v>
      </c>
      <c r="K15" s="135">
        <v>-0.19999999999999996</v>
      </c>
    </row>
    <row r="16" spans="5:23">
      <c r="E16" s="137" t="s">
        <v>221</v>
      </c>
      <c r="F16" s="136">
        <v>1.1000000000000001</v>
      </c>
      <c r="G16" s="135">
        <v>0.1</v>
      </c>
      <c r="H16" s="136">
        <v>-9.4</v>
      </c>
      <c r="I16" s="136">
        <v>3.7</v>
      </c>
      <c r="J16" s="135">
        <v>-11</v>
      </c>
      <c r="K16" s="135">
        <v>-4.2</v>
      </c>
    </row>
    <row r="17" spans="5:11">
      <c r="E17" s="134" t="s">
        <v>220</v>
      </c>
      <c r="F17" s="133">
        <v>7</v>
      </c>
      <c r="G17" s="131">
        <v>5.0999999999999996</v>
      </c>
      <c r="H17" s="132">
        <v>0</v>
      </c>
      <c r="I17" s="131">
        <v>5</v>
      </c>
      <c r="J17" s="130" t="s">
        <v>219</v>
      </c>
      <c r="K17" s="130" t="s">
        <v>219</v>
      </c>
    </row>
    <row r="18" spans="5:11">
      <c r="E18" s="129" t="s">
        <v>218</v>
      </c>
      <c r="F18" s="127"/>
      <c r="G18" s="128"/>
      <c r="H18" s="128"/>
      <c r="I18" s="128"/>
      <c r="J18" s="127"/>
      <c r="K18" s="127"/>
    </row>
    <row r="19" spans="5:11">
      <c r="E19" s="496" t="s">
        <v>217</v>
      </c>
      <c r="F19" s="496"/>
      <c r="G19" s="496"/>
      <c r="H19" s="496"/>
      <c r="I19" s="496"/>
      <c r="J19" s="496"/>
      <c r="K19" s="496"/>
    </row>
    <row r="20" spans="5:11">
      <c r="E20" s="496"/>
      <c r="F20" s="496"/>
      <c r="G20" s="496"/>
      <c r="H20" s="496"/>
      <c r="I20" s="496"/>
      <c r="J20" s="496"/>
      <c r="K20" s="496"/>
    </row>
  </sheetData>
  <mergeCells count="8">
    <mergeCell ref="E19:K20"/>
    <mergeCell ref="E4:K6"/>
    <mergeCell ref="E7:E9"/>
    <mergeCell ref="F7:F9"/>
    <mergeCell ref="G7:G9"/>
    <mergeCell ref="H7:H9"/>
    <mergeCell ref="I7:I9"/>
    <mergeCell ref="J7:K8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1"/>
  <sheetViews>
    <sheetView showGridLines="0" topLeftCell="B1" workbookViewId="0">
      <selection activeCell="B11" sqref="B11"/>
    </sheetView>
  </sheetViews>
  <sheetFormatPr baseColWidth="10" defaultColWidth="9.140625" defaultRowHeight="15"/>
  <cols>
    <col min="2" max="2" width="26.85546875" bestFit="1" customWidth="1"/>
    <col min="3" max="3" width="12.85546875" customWidth="1"/>
    <col min="4" max="4" width="12.5703125" customWidth="1"/>
    <col min="5" max="5" width="12.85546875" customWidth="1"/>
    <col min="6" max="6" width="18" customWidth="1"/>
    <col min="7" max="7" width="11.7109375" customWidth="1"/>
    <col min="8" max="8" width="16" customWidth="1"/>
    <col min="9" max="9" width="13.140625" customWidth="1"/>
  </cols>
  <sheetData>
    <row r="2" spans="2:9" ht="15" customHeight="1">
      <c r="B2" s="506" t="s">
        <v>84</v>
      </c>
      <c r="C2" s="506"/>
      <c r="D2" s="506"/>
      <c r="E2" s="506"/>
      <c r="F2" s="506"/>
      <c r="G2" s="506"/>
      <c r="H2" s="506"/>
      <c r="I2" s="506"/>
    </row>
    <row r="3" spans="2:9">
      <c r="B3" s="507" t="s">
        <v>85</v>
      </c>
      <c r="C3" s="507"/>
      <c r="D3" s="507"/>
      <c r="E3" s="507"/>
      <c r="F3" s="507"/>
      <c r="G3" s="507"/>
      <c r="H3" s="507"/>
      <c r="I3" s="507"/>
    </row>
    <row r="4" spans="2:9">
      <c r="B4" s="507" t="s">
        <v>86</v>
      </c>
      <c r="C4" s="507"/>
      <c r="D4" s="507"/>
      <c r="E4" s="507"/>
      <c r="F4" s="507"/>
      <c r="G4" s="507"/>
      <c r="H4" s="507"/>
      <c r="I4" s="507"/>
    </row>
    <row r="6" spans="2:9">
      <c r="B6" s="514" t="s">
        <v>87</v>
      </c>
      <c r="C6" s="514">
        <v>2019</v>
      </c>
      <c r="D6" s="516" t="s">
        <v>88</v>
      </c>
      <c r="E6" s="514">
        <v>2020</v>
      </c>
      <c r="F6" s="516" t="s">
        <v>89</v>
      </c>
      <c r="G6" s="518" t="s">
        <v>90</v>
      </c>
      <c r="H6" s="519"/>
      <c r="I6" s="520"/>
    </row>
    <row r="7" spans="2:9">
      <c r="B7" s="515"/>
      <c r="C7" s="515"/>
      <c r="D7" s="517"/>
      <c r="E7" s="515"/>
      <c r="F7" s="517"/>
      <c r="G7" s="521"/>
      <c r="H7" s="522"/>
      <c r="I7" s="523"/>
    </row>
    <row r="8" spans="2:9" ht="47.25">
      <c r="B8" s="524"/>
      <c r="C8" s="524"/>
      <c r="D8" s="525"/>
      <c r="E8" s="524"/>
      <c r="F8" s="525"/>
      <c r="G8" s="59" t="s">
        <v>91</v>
      </c>
      <c r="H8" s="59" t="s">
        <v>92</v>
      </c>
      <c r="I8" s="59" t="s">
        <v>93</v>
      </c>
    </row>
    <row r="9" spans="2:9">
      <c r="B9" s="60" t="s">
        <v>94</v>
      </c>
      <c r="C9" s="61">
        <v>57.335000000000008</v>
      </c>
      <c r="D9" s="61">
        <v>59.095749999999995</v>
      </c>
      <c r="E9" s="61">
        <v>36.884999999999998</v>
      </c>
      <c r="F9" s="61">
        <v>30.1</v>
      </c>
      <c r="G9" s="62">
        <v>-0.35667567803261546</v>
      </c>
      <c r="H9" s="62">
        <v>-0.37584344051814211</v>
      </c>
      <c r="I9" s="63">
        <v>0.22541528239202635</v>
      </c>
    </row>
    <row r="10" spans="2:9">
      <c r="B10" s="64" t="s">
        <v>95</v>
      </c>
      <c r="C10" s="65">
        <v>1306.895</v>
      </c>
      <c r="D10" s="65">
        <v>1390.77</v>
      </c>
      <c r="E10" s="65">
        <v>1646.8333333333333</v>
      </c>
      <c r="F10" s="65">
        <v>1600</v>
      </c>
      <c r="G10" s="66">
        <v>0.26011143460900321</v>
      </c>
      <c r="H10" s="66">
        <v>0.18411623297405999</v>
      </c>
      <c r="I10" s="67">
        <v>2.9270833333333357E-2</v>
      </c>
    </row>
    <row r="11" spans="2:9">
      <c r="B11" s="1" t="s">
        <v>96</v>
      </c>
    </row>
  </sheetData>
  <mergeCells count="9">
    <mergeCell ref="G6:I7"/>
    <mergeCell ref="B4:I4"/>
    <mergeCell ref="B3:I3"/>
    <mergeCell ref="B2:I2"/>
    <mergeCell ref="B6:B8"/>
    <mergeCell ref="C6:C8"/>
    <mergeCell ref="D6:D8"/>
    <mergeCell ref="E6:E8"/>
    <mergeCell ref="F6:F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1"/>
  <sheetViews>
    <sheetView showGridLines="0" topLeftCell="B1" workbookViewId="0">
      <selection activeCell="B11" sqref="B11:F11"/>
    </sheetView>
  </sheetViews>
  <sheetFormatPr baseColWidth="10" defaultColWidth="9.140625" defaultRowHeight="15"/>
  <cols>
    <col min="2" max="2" width="25.85546875" bestFit="1" customWidth="1"/>
    <col min="3" max="3" width="13.28515625" customWidth="1"/>
    <col min="4" max="4" width="14.140625" customWidth="1"/>
    <col min="5" max="5" width="14.28515625" customWidth="1"/>
    <col min="6" max="6" width="19.85546875" customWidth="1"/>
  </cols>
  <sheetData>
    <row r="2" spans="2:6">
      <c r="B2" s="506" t="s">
        <v>97</v>
      </c>
      <c r="C2" s="506"/>
      <c r="D2" s="506"/>
      <c r="E2" s="506"/>
      <c r="F2" s="506"/>
    </row>
    <row r="3" spans="2:6">
      <c r="B3" s="507" t="s">
        <v>85</v>
      </c>
      <c r="C3" s="507"/>
      <c r="D3" s="507"/>
      <c r="E3" s="507"/>
      <c r="F3" s="507"/>
    </row>
    <row r="6" spans="2:6">
      <c r="B6" s="514" t="s">
        <v>87</v>
      </c>
      <c r="C6" s="514">
        <v>2019</v>
      </c>
      <c r="D6" s="516" t="s">
        <v>88</v>
      </c>
      <c r="E6" s="514">
        <v>2020</v>
      </c>
      <c r="F6" s="516" t="s">
        <v>89</v>
      </c>
    </row>
    <row r="7" spans="2:6">
      <c r="B7" s="515"/>
      <c r="C7" s="515"/>
      <c r="D7" s="517"/>
      <c r="E7" s="515"/>
      <c r="F7" s="517"/>
    </row>
    <row r="8" spans="2:6">
      <c r="B8" s="524"/>
      <c r="C8" s="524"/>
      <c r="D8" s="525"/>
      <c r="E8" s="524"/>
      <c r="F8" s="525"/>
    </row>
    <row r="9" spans="2:6">
      <c r="B9" s="60" t="s">
        <v>98</v>
      </c>
      <c r="C9" s="61">
        <v>50.54229999999999</v>
      </c>
      <c r="D9" s="61">
        <v>53.556249999999999</v>
      </c>
      <c r="E9" s="61">
        <v>54.624383333333327</v>
      </c>
      <c r="F9" s="68">
        <v>57.05</v>
      </c>
    </row>
    <row r="10" spans="2:6">
      <c r="B10" s="64" t="s">
        <v>99</v>
      </c>
      <c r="C10" s="65">
        <v>2.9</v>
      </c>
      <c r="D10" s="65">
        <v>4.5000000000000036</v>
      </c>
      <c r="E10" s="65">
        <v>8.1</v>
      </c>
      <c r="F10" s="69">
        <v>11.152242528153366</v>
      </c>
    </row>
    <row r="11" spans="2:6" ht="23.25" customHeight="1">
      <c r="B11" s="526" t="s">
        <v>96</v>
      </c>
      <c r="C11" s="526"/>
      <c r="D11" s="526"/>
      <c r="E11" s="526"/>
      <c r="F11" s="526"/>
    </row>
  </sheetData>
  <mergeCells count="8">
    <mergeCell ref="B11:F11"/>
    <mergeCell ref="B2:F2"/>
    <mergeCell ref="B3:F3"/>
    <mergeCell ref="B6:B8"/>
    <mergeCell ref="C6:C8"/>
    <mergeCell ref="D6:D8"/>
    <mergeCell ref="E6:E8"/>
    <mergeCell ref="F6:F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8"/>
  <sheetViews>
    <sheetView showGridLines="0" topLeftCell="D7" workbookViewId="0">
      <selection activeCell="S19" sqref="S19"/>
    </sheetView>
  </sheetViews>
  <sheetFormatPr baseColWidth="10" defaultColWidth="9.140625" defaultRowHeight="15"/>
  <sheetData>
    <row r="2" spans="2:17">
      <c r="B2" s="507" t="s">
        <v>215</v>
      </c>
      <c r="C2" s="507"/>
      <c r="D2" s="507"/>
      <c r="E2" s="507"/>
      <c r="F2" s="507"/>
      <c r="G2" s="507"/>
      <c r="H2" s="507"/>
      <c r="I2" s="507"/>
      <c r="J2" s="507"/>
      <c r="K2" s="507"/>
      <c r="L2" s="507"/>
      <c r="M2" s="507"/>
      <c r="N2" s="507"/>
      <c r="O2" s="507"/>
      <c r="P2" s="507"/>
      <c r="Q2" s="507"/>
    </row>
    <row r="3" spans="2:17">
      <c r="B3" s="507" t="s">
        <v>216</v>
      </c>
      <c r="C3" s="507"/>
      <c r="D3" s="507"/>
      <c r="E3" s="507"/>
      <c r="F3" s="507"/>
      <c r="G3" s="507"/>
      <c r="H3" s="507"/>
      <c r="I3" s="507"/>
      <c r="J3" s="507"/>
      <c r="K3" s="507"/>
      <c r="L3" s="507"/>
      <c r="M3" s="507"/>
      <c r="N3" s="507"/>
      <c r="O3" s="507"/>
      <c r="P3" s="507"/>
      <c r="Q3" s="507"/>
    </row>
    <row r="28" spans="2:2">
      <c r="B28" s="1" t="s">
        <v>4</v>
      </c>
    </row>
  </sheetData>
  <mergeCells count="2">
    <mergeCell ref="B2:Q2"/>
    <mergeCell ref="B3:Q3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9"/>
  <sheetViews>
    <sheetView showGridLines="0" workbookViewId="0">
      <selection activeCell="O29" sqref="O29"/>
    </sheetView>
  </sheetViews>
  <sheetFormatPr baseColWidth="10" defaultColWidth="9.140625" defaultRowHeight="15"/>
  <sheetData>
    <row r="2" spans="2:16">
      <c r="B2" s="507" t="s">
        <v>213</v>
      </c>
      <c r="C2" s="507"/>
      <c r="D2" s="507"/>
      <c r="E2" s="507"/>
      <c r="F2" s="507"/>
      <c r="G2" s="507"/>
      <c r="H2" s="507"/>
      <c r="I2" s="507"/>
      <c r="J2" s="507"/>
      <c r="K2" s="507"/>
      <c r="L2" s="507"/>
      <c r="M2" s="507"/>
      <c r="N2" s="507"/>
      <c r="O2" s="507"/>
      <c r="P2" s="507"/>
    </row>
    <row r="3" spans="2:16">
      <c r="B3" s="507" t="s">
        <v>214</v>
      </c>
      <c r="C3" s="507"/>
      <c r="D3" s="507"/>
      <c r="E3" s="507"/>
      <c r="F3" s="507"/>
      <c r="G3" s="507"/>
      <c r="H3" s="507"/>
      <c r="I3" s="507"/>
      <c r="J3" s="507"/>
      <c r="K3" s="507"/>
      <c r="L3" s="507"/>
      <c r="M3" s="507"/>
      <c r="N3" s="507"/>
      <c r="O3" s="507"/>
      <c r="P3" s="507"/>
    </row>
    <row r="29" spans="2:2">
      <c r="B29" s="1" t="s">
        <v>4</v>
      </c>
    </row>
  </sheetData>
  <mergeCells count="2">
    <mergeCell ref="B2:P2"/>
    <mergeCell ref="B3:P3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7"/>
  <sheetViews>
    <sheetView showGridLines="0" workbookViewId="0">
      <selection activeCell="B17" sqref="B17"/>
    </sheetView>
  </sheetViews>
  <sheetFormatPr baseColWidth="10" defaultColWidth="9.140625" defaultRowHeight="15"/>
  <cols>
    <col min="2" max="2" width="12.140625" bestFit="1" customWidth="1"/>
    <col min="3" max="3" width="27.7109375" bestFit="1" customWidth="1"/>
    <col min="4" max="4" width="13.7109375" customWidth="1"/>
    <col min="5" max="5" width="12.7109375" customWidth="1"/>
  </cols>
  <sheetData>
    <row r="2" spans="2:5">
      <c r="B2" s="507" t="s">
        <v>211</v>
      </c>
      <c r="C2" s="507"/>
      <c r="D2" s="507"/>
      <c r="E2" s="507"/>
    </row>
    <row r="3" spans="2:5">
      <c r="B3" s="507" t="s">
        <v>212</v>
      </c>
      <c r="C3" s="507"/>
      <c r="D3" s="507"/>
      <c r="E3" s="507"/>
    </row>
    <row r="5" spans="2:5" ht="15.75" thickBot="1"/>
    <row r="6" spans="2:5" ht="30.75" thickBot="1">
      <c r="B6" s="114" t="s">
        <v>198</v>
      </c>
      <c r="C6" s="115" t="s">
        <v>199</v>
      </c>
      <c r="D6" s="116" t="s">
        <v>200</v>
      </c>
      <c r="E6" s="117" t="s">
        <v>201</v>
      </c>
    </row>
    <row r="7" spans="2:5">
      <c r="B7" s="529" t="s">
        <v>202</v>
      </c>
      <c r="C7" s="118" t="s">
        <v>203</v>
      </c>
      <c r="D7" s="119">
        <v>22321</v>
      </c>
      <c r="E7" s="120">
        <v>222.4</v>
      </c>
    </row>
    <row r="8" spans="2:5" ht="15.75" thickBot="1">
      <c r="B8" s="530"/>
      <c r="C8" s="121" t="s">
        <v>204</v>
      </c>
      <c r="D8" s="122">
        <v>30000</v>
      </c>
      <c r="E8" s="123">
        <v>300</v>
      </c>
    </row>
    <row r="9" spans="2:5" ht="15.75" thickBot="1">
      <c r="B9" s="531" t="s">
        <v>205</v>
      </c>
      <c r="C9" s="532"/>
      <c r="D9" s="124">
        <f>D7+D8</f>
        <v>52321</v>
      </c>
      <c r="E9" s="124">
        <f>E7+E8</f>
        <v>522.4</v>
      </c>
    </row>
    <row r="10" spans="2:5">
      <c r="B10" s="529" t="s">
        <v>206</v>
      </c>
      <c r="C10" s="118" t="s">
        <v>203</v>
      </c>
      <c r="D10" s="119">
        <f>7812.4+136.4</f>
        <v>7948.7999999999993</v>
      </c>
      <c r="E10" s="120">
        <v>0</v>
      </c>
    </row>
    <row r="11" spans="2:5" ht="15.75" thickBot="1">
      <c r="B11" s="530"/>
      <c r="C11" s="121" t="s">
        <v>204</v>
      </c>
      <c r="D11" s="122">
        <v>20000</v>
      </c>
      <c r="E11" s="123">
        <v>100</v>
      </c>
    </row>
    <row r="12" spans="2:5" ht="15.75" thickBot="1">
      <c r="B12" s="531" t="s">
        <v>207</v>
      </c>
      <c r="C12" s="532"/>
      <c r="D12" s="124">
        <f>D10+D11</f>
        <v>27948.799999999999</v>
      </c>
      <c r="E12" s="124">
        <f>E10+E11</f>
        <v>100</v>
      </c>
    </row>
    <row r="13" spans="2:5">
      <c r="B13" s="529" t="s">
        <v>208</v>
      </c>
      <c r="C13" s="118" t="s">
        <v>203</v>
      </c>
      <c r="D13" s="119">
        <v>5681</v>
      </c>
      <c r="E13" s="120">
        <v>0</v>
      </c>
    </row>
    <row r="14" spans="2:5" ht="15.75" thickBot="1">
      <c r="B14" s="530"/>
      <c r="C14" s="121" t="s">
        <v>204</v>
      </c>
      <c r="D14" s="122">
        <v>15000</v>
      </c>
      <c r="E14" s="123">
        <v>0</v>
      </c>
    </row>
    <row r="15" spans="2:5" ht="15.75" thickBot="1">
      <c r="B15" s="531" t="s">
        <v>209</v>
      </c>
      <c r="C15" s="532"/>
      <c r="D15" s="124">
        <f>D13+D14</f>
        <v>20681</v>
      </c>
      <c r="E15" s="124">
        <f>E13+E14</f>
        <v>0</v>
      </c>
    </row>
    <row r="16" spans="2:5" ht="15.75" thickBot="1">
      <c r="B16" s="527" t="s">
        <v>210</v>
      </c>
      <c r="C16" s="528"/>
      <c r="D16" s="125">
        <f>D9+D12+D15</f>
        <v>100950.8</v>
      </c>
      <c r="E16" s="125">
        <f>E9+E12+E15</f>
        <v>622.4</v>
      </c>
    </row>
    <row r="17" spans="2:2">
      <c r="B17" s="1" t="s">
        <v>4</v>
      </c>
    </row>
  </sheetData>
  <mergeCells count="9">
    <mergeCell ref="B16:C16"/>
    <mergeCell ref="B2:E2"/>
    <mergeCell ref="B3:E3"/>
    <mergeCell ref="B7:B8"/>
    <mergeCell ref="B9:C9"/>
    <mergeCell ref="B10:B11"/>
    <mergeCell ref="B12:C12"/>
    <mergeCell ref="B13:B14"/>
    <mergeCell ref="B15:C1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2"/>
  <sheetViews>
    <sheetView showGridLines="0" workbookViewId="0">
      <selection activeCell="D11" sqref="D11"/>
    </sheetView>
  </sheetViews>
  <sheetFormatPr baseColWidth="10" defaultColWidth="9.140625" defaultRowHeight="15"/>
  <cols>
    <col min="2" max="2" width="31" bestFit="1" customWidth="1"/>
    <col min="3" max="3" width="15.85546875" customWidth="1"/>
    <col min="4" max="5" width="17.28515625" customWidth="1"/>
    <col min="6" max="6" width="16.42578125" customWidth="1"/>
    <col min="7" max="7" width="16.7109375" customWidth="1"/>
    <col min="8" max="8" width="18.5703125" customWidth="1"/>
    <col min="9" max="9" width="9.5703125" customWidth="1"/>
    <col min="10" max="10" width="18" customWidth="1"/>
    <col min="11" max="11" width="15.140625" customWidth="1"/>
    <col min="12" max="12" width="15.42578125" customWidth="1"/>
    <col min="13" max="13" width="15.140625" customWidth="1"/>
    <col min="14" max="14" width="16.140625" customWidth="1"/>
    <col min="15" max="15" width="15.140625" customWidth="1"/>
    <col min="16" max="16" width="15.85546875" customWidth="1"/>
  </cols>
  <sheetData>
    <row r="2" spans="2:16">
      <c r="B2" s="507" t="s">
        <v>131</v>
      </c>
      <c r="C2" s="507"/>
      <c r="D2" s="507"/>
      <c r="E2" s="507"/>
      <c r="F2" s="507"/>
      <c r="G2" s="507"/>
      <c r="H2" s="507"/>
      <c r="I2" s="507"/>
      <c r="J2" s="507"/>
      <c r="K2" s="507"/>
      <c r="L2" s="507"/>
      <c r="M2" s="507"/>
      <c r="N2" s="507"/>
      <c r="O2" s="507"/>
      <c r="P2" s="507"/>
    </row>
    <row r="3" spans="2:16">
      <c r="B3" s="507" t="s">
        <v>85</v>
      </c>
      <c r="C3" s="507"/>
      <c r="D3" s="507"/>
      <c r="E3" s="507"/>
      <c r="F3" s="507"/>
      <c r="G3" s="507"/>
      <c r="H3" s="507"/>
      <c r="I3" s="507"/>
      <c r="J3" s="507"/>
      <c r="K3" s="507"/>
      <c r="L3" s="507"/>
      <c r="M3" s="507"/>
      <c r="N3" s="507"/>
      <c r="O3" s="507"/>
      <c r="P3" s="507"/>
    </row>
    <row r="5" spans="2:16" ht="15.75" thickBot="1"/>
    <row r="6" spans="2:16">
      <c r="B6" s="548" t="s">
        <v>100</v>
      </c>
      <c r="C6" s="533" t="s">
        <v>101</v>
      </c>
      <c r="D6" s="533" t="s">
        <v>102</v>
      </c>
      <c r="E6" s="536" t="s">
        <v>103</v>
      </c>
      <c r="F6" s="537"/>
      <c r="G6" s="537"/>
      <c r="H6" s="537"/>
      <c r="I6" s="538"/>
      <c r="J6" s="540" t="s">
        <v>115</v>
      </c>
      <c r="K6" s="540" t="s">
        <v>116</v>
      </c>
      <c r="L6" s="540" t="s">
        <v>117</v>
      </c>
      <c r="M6" s="543" t="s">
        <v>118</v>
      </c>
      <c r="N6" s="544"/>
      <c r="O6" s="543" t="s">
        <v>119</v>
      </c>
      <c r="P6" s="545"/>
    </row>
    <row r="7" spans="2:16">
      <c r="B7" s="549"/>
      <c r="C7" s="534"/>
      <c r="D7" s="534"/>
      <c r="E7" s="539" t="s">
        <v>104</v>
      </c>
      <c r="F7" s="539" t="s">
        <v>105</v>
      </c>
      <c r="G7" s="539" t="s">
        <v>106</v>
      </c>
      <c r="H7" s="539" t="s">
        <v>107</v>
      </c>
      <c r="I7" s="539" t="s">
        <v>108</v>
      </c>
      <c r="J7" s="541"/>
      <c r="K7" s="541"/>
      <c r="L7" s="541"/>
      <c r="M7" s="539" t="s">
        <v>132</v>
      </c>
      <c r="N7" s="539" t="s">
        <v>120</v>
      </c>
      <c r="O7" s="539" t="s">
        <v>121</v>
      </c>
      <c r="P7" s="546" t="s">
        <v>122</v>
      </c>
    </row>
    <row r="8" spans="2:16">
      <c r="B8" s="549"/>
      <c r="C8" s="535"/>
      <c r="D8" s="535"/>
      <c r="E8" s="534">
        <v>2016</v>
      </c>
      <c r="F8" s="534"/>
      <c r="G8" s="534"/>
      <c r="H8" s="535"/>
      <c r="I8" s="535"/>
      <c r="J8" s="542"/>
      <c r="K8" s="542"/>
      <c r="L8" s="542"/>
      <c r="M8" s="534" t="s">
        <v>123</v>
      </c>
      <c r="N8" s="534" t="s">
        <v>123</v>
      </c>
      <c r="O8" s="534"/>
      <c r="P8" s="547"/>
    </row>
    <row r="9" spans="2:16" ht="15.75" thickBot="1">
      <c r="B9" s="550"/>
      <c r="C9" s="87">
        <v>1</v>
      </c>
      <c r="D9" s="87">
        <v>2</v>
      </c>
      <c r="E9" s="87">
        <v>3</v>
      </c>
      <c r="F9" s="87">
        <v>4</v>
      </c>
      <c r="G9" s="87">
        <v>5</v>
      </c>
      <c r="H9" s="88">
        <v>6</v>
      </c>
      <c r="I9" s="87" t="s">
        <v>109</v>
      </c>
      <c r="J9" s="89" t="s">
        <v>124</v>
      </c>
      <c r="K9" s="90" t="s">
        <v>125</v>
      </c>
      <c r="L9" s="88" t="s">
        <v>126</v>
      </c>
      <c r="M9" s="88" t="s">
        <v>127</v>
      </c>
      <c r="N9" s="90" t="s">
        <v>128</v>
      </c>
      <c r="O9" s="88" t="s">
        <v>129</v>
      </c>
      <c r="P9" s="91" t="s">
        <v>130</v>
      </c>
    </row>
    <row r="10" spans="2:16">
      <c r="B10" s="72" t="s">
        <v>110</v>
      </c>
      <c r="C10" s="85">
        <v>737095519078.07983</v>
      </c>
      <c r="D10" s="85">
        <v>659216880491</v>
      </c>
      <c r="E10" s="85">
        <v>332925398894.42981</v>
      </c>
      <c r="F10" s="85">
        <v>371843009028.08173</v>
      </c>
      <c r="G10" s="85">
        <v>300524553246.52203</v>
      </c>
      <c r="H10" s="85">
        <v>280002227496.25</v>
      </c>
      <c r="I10" s="80">
        <v>6.0466910954041692E-2</v>
      </c>
      <c r="J10" s="80">
        <v>-0.15896405493220322</v>
      </c>
      <c r="K10" s="80">
        <v>0.37987237779774052</v>
      </c>
      <c r="L10" s="80">
        <v>0.42474978384572948</v>
      </c>
      <c r="M10" s="86">
        <v>-91840781531.831726</v>
      </c>
      <c r="N10" s="80">
        <v>-0.24698805491028031</v>
      </c>
      <c r="O10" s="86">
        <v>-20522325750.272034</v>
      </c>
      <c r="P10" s="74">
        <v>0.93171165041733728</v>
      </c>
    </row>
    <row r="11" spans="2:16" ht="15.75" thickBot="1">
      <c r="B11" s="72" t="s">
        <v>111</v>
      </c>
      <c r="C11" s="73">
        <v>10733570772.911501</v>
      </c>
      <c r="D11" s="73">
        <v>10896643275.406925</v>
      </c>
      <c r="E11" s="73">
        <v>134895784.69999999</v>
      </c>
      <c r="F11" s="73">
        <v>5369205000.4187222</v>
      </c>
      <c r="G11" s="73">
        <v>5172493680.7787218</v>
      </c>
      <c r="H11" s="73">
        <v>4938415337.9700003</v>
      </c>
      <c r="I11" s="80">
        <v>1.0664583748681248E-3</v>
      </c>
      <c r="J11" s="80">
        <v>35.609115317819125</v>
      </c>
      <c r="K11" s="80">
        <v>0.46009062989859489</v>
      </c>
      <c r="L11" s="80">
        <v>0.45320519476999943</v>
      </c>
      <c r="M11" s="73">
        <v>-430789662.44872189</v>
      </c>
      <c r="N11" s="80">
        <v>-8.0233416756321674E-2</v>
      </c>
      <c r="O11" s="73">
        <v>-234078342.80872154</v>
      </c>
      <c r="P11" s="74">
        <v>0.95474555267634842</v>
      </c>
    </row>
    <row r="12" spans="2:16" ht="15.75" thickBot="1">
      <c r="B12" s="75" t="s">
        <v>112</v>
      </c>
      <c r="C12" s="76">
        <v>747829089850.99133</v>
      </c>
      <c r="D12" s="76">
        <f>D10+D11</f>
        <v>670113523766.40698</v>
      </c>
      <c r="E12" s="76">
        <f t="shared" ref="E12:H12" si="0">E10+E11</f>
        <v>333060294679.12982</v>
      </c>
      <c r="F12" s="76">
        <f t="shared" si="0"/>
        <v>377212214028.50043</v>
      </c>
      <c r="G12" s="76">
        <f t="shared" si="0"/>
        <v>305697046927.30078</v>
      </c>
      <c r="H12" s="76">
        <f t="shared" si="0"/>
        <v>284940642834.21997</v>
      </c>
      <c r="I12" s="83">
        <v>6.1533369328909814E-2</v>
      </c>
      <c r="J12" s="77">
        <v>-0.14447729919673646</v>
      </c>
      <c r="K12" s="84">
        <v>0.38102374820829155</v>
      </c>
      <c r="L12" s="81">
        <v>0.42521249419419971</v>
      </c>
      <c r="M12" s="76">
        <v>-92271571194.280457</v>
      </c>
      <c r="N12" s="81">
        <v>-0.24461448426828736</v>
      </c>
      <c r="O12" s="76">
        <v>-20756404093.080811</v>
      </c>
      <c r="P12" s="77">
        <v>0.93210139155182292</v>
      </c>
    </row>
    <row r="13" spans="2:16" ht="15.75" thickBot="1">
      <c r="B13" s="72" t="s">
        <v>113</v>
      </c>
      <c r="C13" s="73">
        <v>2994261325</v>
      </c>
      <c r="D13" s="73">
        <v>2994261324.8000002</v>
      </c>
      <c r="E13" s="73">
        <v>345407281.66999996</v>
      </c>
      <c r="F13" s="73">
        <v>1499436502.2980661</v>
      </c>
      <c r="G13" s="73">
        <v>1499436502.2980661</v>
      </c>
      <c r="H13" s="73">
        <v>490187450.84999996</v>
      </c>
      <c r="I13" s="80">
        <v>1.0585673266378783E-4</v>
      </c>
      <c r="J13" s="80">
        <v>0.41915783732180301</v>
      </c>
      <c r="K13" s="80">
        <v>0.16370897448304716</v>
      </c>
      <c r="L13" s="80">
        <v>0.16370897448383834</v>
      </c>
      <c r="M13" s="73">
        <v>-1009249051.4480662</v>
      </c>
      <c r="N13" s="80">
        <v>-0.67308555574128759</v>
      </c>
      <c r="O13" s="73">
        <v>-1009249051.4480662</v>
      </c>
      <c r="P13" s="74">
        <v>0.32691444425871247</v>
      </c>
    </row>
    <row r="14" spans="2:16" ht="15.75" thickBot="1">
      <c r="B14" s="75" t="s">
        <v>114</v>
      </c>
      <c r="C14" s="76">
        <v>750823351175.99133</v>
      </c>
      <c r="D14" s="76">
        <f>D12+D13</f>
        <v>673107785091.20703</v>
      </c>
      <c r="E14" s="76">
        <f t="shared" ref="E14:H14" si="1">E12+E13</f>
        <v>333405701960.7998</v>
      </c>
      <c r="F14" s="76">
        <f t="shared" si="1"/>
        <v>378711650530.79852</v>
      </c>
      <c r="G14" s="76">
        <f t="shared" si="1"/>
        <v>307196483429.59888</v>
      </c>
      <c r="H14" s="76">
        <f t="shared" si="1"/>
        <v>285430830285.06995</v>
      </c>
      <c r="I14" s="83">
        <v>6.1639226061573599E-2</v>
      </c>
      <c r="J14" s="77">
        <v>-0.14389337492905419</v>
      </c>
      <c r="K14" s="84">
        <v>0.38015710331599101</v>
      </c>
      <c r="L14" s="81">
        <v>0.42404921857511091</v>
      </c>
      <c r="M14" s="76">
        <v>-93280820245.728577</v>
      </c>
      <c r="N14" s="81">
        <v>-0.24631093370110768</v>
      </c>
      <c r="O14" s="76">
        <v>-21765653144.528931</v>
      </c>
      <c r="P14" s="77">
        <v>0.92914745344239258</v>
      </c>
    </row>
    <row r="15" spans="2:16">
      <c r="B15" s="1" t="s">
        <v>133</v>
      </c>
    </row>
    <row r="16" spans="2:16">
      <c r="B16" s="1" t="s">
        <v>134</v>
      </c>
    </row>
    <row r="17" spans="2:2">
      <c r="B17" s="1" t="s">
        <v>590</v>
      </c>
    </row>
    <row r="18" spans="2:2">
      <c r="B18" s="1" t="s">
        <v>591</v>
      </c>
    </row>
    <row r="19" spans="2:2">
      <c r="B19" s="1" t="s">
        <v>137</v>
      </c>
    </row>
    <row r="20" spans="2:2">
      <c r="B20" s="1" t="s">
        <v>138</v>
      </c>
    </row>
    <row r="21" spans="2:2">
      <c r="B21" s="1" t="s">
        <v>139</v>
      </c>
    </row>
    <row r="22" spans="2:2">
      <c r="B22" s="1" t="s">
        <v>140</v>
      </c>
    </row>
  </sheetData>
  <mergeCells count="20">
    <mergeCell ref="B2:P2"/>
    <mergeCell ref="B3:P3"/>
    <mergeCell ref="J6:J8"/>
    <mergeCell ref="K6:K8"/>
    <mergeCell ref="L6:L8"/>
    <mergeCell ref="M6:N6"/>
    <mergeCell ref="O6:P6"/>
    <mergeCell ref="M7:M8"/>
    <mergeCell ref="N7:N8"/>
    <mergeCell ref="O7:O8"/>
    <mergeCell ref="P7:P8"/>
    <mergeCell ref="B6:B9"/>
    <mergeCell ref="C6:C8"/>
    <mergeCell ref="D6:D8"/>
    <mergeCell ref="E6:I6"/>
    <mergeCell ref="E7:E8"/>
    <mergeCell ref="F7:F8"/>
    <mergeCell ref="G7:G8"/>
    <mergeCell ref="H7:H8"/>
    <mergeCell ref="I7:I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76"/>
  <sheetViews>
    <sheetView showGridLines="0" topLeftCell="A46" workbookViewId="0">
      <selection activeCell="D11" sqref="D11"/>
    </sheetView>
  </sheetViews>
  <sheetFormatPr baseColWidth="10" defaultColWidth="9.140625" defaultRowHeight="15"/>
  <cols>
    <col min="2" max="2" width="86.28515625" bestFit="1" customWidth="1"/>
    <col min="3" max="3" width="15.42578125" customWidth="1"/>
    <col min="4" max="4" width="15.85546875" customWidth="1"/>
    <col min="5" max="5" width="18.42578125" customWidth="1"/>
    <col min="6" max="6" width="15.5703125" customWidth="1"/>
    <col min="7" max="7" width="15.28515625" customWidth="1"/>
    <col min="8" max="8" width="19.28515625" customWidth="1"/>
    <col min="9" max="9" width="9.140625" customWidth="1"/>
    <col min="10" max="10" width="16" customWidth="1"/>
    <col min="11" max="11" width="18.42578125" customWidth="1"/>
    <col min="12" max="12" width="16.140625" customWidth="1"/>
    <col min="13" max="13" width="16" customWidth="1"/>
    <col min="14" max="14" width="17.85546875" customWidth="1"/>
    <col min="15" max="15" width="16" customWidth="1"/>
    <col min="16" max="16" width="15.42578125" customWidth="1"/>
  </cols>
  <sheetData>
    <row r="2" spans="2:16">
      <c r="B2" s="507" t="s">
        <v>141</v>
      </c>
      <c r="C2" s="507"/>
      <c r="D2" s="507"/>
      <c r="E2" s="507"/>
      <c r="F2" s="507"/>
      <c r="G2" s="507"/>
      <c r="H2" s="507"/>
      <c r="I2" s="507"/>
      <c r="J2" s="507"/>
      <c r="K2" s="507"/>
      <c r="L2" s="507"/>
      <c r="M2" s="507"/>
      <c r="N2" s="507"/>
      <c r="O2" s="507"/>
    </row>
    <row r="3" spans="2:16">
      <c r="B3" s="551" t="s">
        <v>142</v>
      </c>
      <c r="C3" s="551"/>
      <c r="D3" s="551"/>
      <c r="E3" s="551"/>
      <c r="F3" s="551"/>
      <c r="G3" s="551"/>
      <c r="H3" s="551"/>
      <c r="I3" s="551"/>
      <c r="J3" s="551"/>
      <c r="K3" s="551"/>
      <c r="L3" s="551"/>
      <c r="M3" s="551"/>
      <c r="N3" s="551"/>
      <c r="O3" s="551"/>
    </row>
    <row r="4" spans="2:16">
      <c r="B4" s="507" t="s">
        <v>85</v>
      </c>
      <c r="C4" s="507"/>
      <c r="D4" s="507"/>
      <c r="E4" s="507"/>
      <c r="F4" s="507"/>
      <c r="G4" s="507"/>
      <c r="H4" s="507"/>
      <c r="I4" s="507"/>
      <c r="J4" s="507"/>
      <c r="K4" s="507"/>
      <c r="L4" s="507"/>
      <c r="M4" s="507"/>
      <c r="N4" s="507"/>
      <c r="O4" s="507"/>
    </row>
    <row r="5" spans="2:16" ht="15.75" thickBot="1"/>
    <row r="6" spans="2:16">
      <c r="B6" s="548" t="s">
        <v>100</v>
      </c>
      <c r="C6" s="533" t="s">
        <v>101</v>
      </c>
      <c r="D6" s="533" t="s">
        <v>102</v>
      </c>
      <c r="E6" s="536" t="s">
        <v>103</v>
      </c>
      <c r="F6" s="537"/>
      <c r="G6" s="537"/>
      <c r="H6" s="537"/>
      <c r="I6" s="537"/>
      <c r="J6" s="555" t="s">
        <v>115</v>
      </c>
      <c r="K6" s="555" t="s">
        <v>116</v>
      </c>
      <c r="L6" s="533" t="s">
        <v>117</v>
      </c>
      <c r="M6" s="543" t="s">
        <v>118</v>
      </c>
      <c r="N6" s="544"/>
      <c r="O6" s="543" t="s">
        <v>119</v>
      </c>
      <c r="P6" s="545"/>
    </row>
    <row r="7" spans="2:16" ht="15" customHeight="1">
      <c r="B7" s="549"/>
      <c r="C7" s="534"/>
      <c r="D7" s="534"/>
      <c r="E7" s="539" t="s">
        <v>104</v>
      </c>
      <c r="F7" s="539" t="s">
        <v>105</v>
      </c>
      <c r="G7" s="539" t="s">
        <v>106</v>
      </c>
      <c r="H7" s="539" t="s">
        <v>107</v>
      </c>
      <c r="I7" s="553" t="s">
        <v>108</v>
      </c>
      <c r="J7" s="556"/>
      <c r="K7" s="556"/>
      <c r="L7" s="534"/>
      <c r="M7" s="539" t="s">
        <v>132</v>
      </c>
      <c r="N7" s="539" t="s">
        <v>120</v>
      </c>
      <c r="O7" s="539" t="s">
        <v>121</v>
      </c>
      <c r="P7" s="546" t="s">
        <v>122</v>
      </c>
    </row>
    <row r="8" spans="2:16" ht="15" customHeight="1">
      <c r="B8" s="549"/>
      <c r="C8" s="535"/>
      <c r="D8" s="535"/>
      <c r="E8" s="534">
        <v>2016</v>
      </c>
      <c r="F8" s="534"/>
      <c r="G8" s="534"/>
      <c r="H8" s="535"/>
      <c r="I8" s="554"/>
      <c r="J8" s="557"/>
      <c r="K8" s="557"/>
      <c r="L8" s="535"/>
      <c r="M8" s="534" t="s">
        <v>123</v>
      </c>
      <c r="N8" s="534" t="s">
        <v>123</v>
      </c>
      <c r="O8" s="534"/>
      <c r="P8" s="547"/>
    </row>
    <row r="9" spans="2:16" ht="15.75" thickBot="1">
      <c r="B9" s="552"/>
      <c r="C9" s="70">
        <v>1</v>
      </c>
      <c r="D9" s="70">
        <v>2</v>
      </c>
      <c r="E9" s="70">
        <v>3</v>
      </c>
      <c r="F9" s="70">
        <v>4</v>
      </c>
      <c r="G9" s="70">
        <v>5</v>
      </c>
      <c r="H9" s="71">
        <v>6</v>
      </c>
      <c r="I9" s="82" t="s">
        <v>109</v>
      </c>
      <c r="J9" s="71" t="s">
        <v>124</v>
      </c>
      <c r="K9" s="78" t="s">
        <v>125</v>
      </c>
      <c r="L9" s="71" t="s">
        <v>126</v>
      </c>
      <c r="M9" s="71" t="s">
        <v>127</v>
      </c>
      <c r="N9" s="78" t="s">
        <v>128</v>
      </c>
      <c r="O9" s="71" t="s">
        <v>129</v>
      </c>
      <c r="P9" s="79" t="s">
        <v>130</v>
      </c>
    </row>
    <row r="10" spans="2:16">
      <c r="B10" s="92" t="s">
        <v>110</v>
      </c>
      <c r="C10" s="93">
        <v>737095519078.07983</v>
      </c>
      <c r="D10" s="93">
        <f>D11+D31+D39+D42+D49+D52+D53</f>
        <v>659216880490.54163</v>
      </c>
      <c r="E10" s="93">
        <v>332925398894.42981</v>
      </c>
      <c r="F10" s="93">
        <v>371843009028.08173</v>
      </c>
      <c r="G10" s="93">
        <v>300524553246.52203</v>
      </c>
      <c r="H10" s="93">
        <v>280002227496.25</v>
      </c>
      <c r="I10" s="95">
        <v>6.0466910954041692E-2</v>
      </c>
      <c r="J10" s="95">
        <v>-0.15896405493220322</v>
      </c>
      <c r="K10" s="95">
        <v>0.37987237779774052</v>
      </c>
      <c r="L10" s="95">
        <v>0.42474978384572948</v>
      </c>
      <c r="M10" s="96">
        <v>-91840781531.831726</v>
      </c>
      <c r="N10" s="95">
        <v>-0.24698805491028031</v>
      </c>
      <c r="O10" s="96">
        <v>-20522325750.272034</v>
      </c>
      <c r="P10" s="94">
        <v>0.93171165041733728</v>
      </c>
    </row>
    <row r="11" spans="2:16">
      <c r="B11" s="97" t="s">
        <v>143</v>
      </c>
      <c r="C11" s="98">
        <v>682855176598.25134</v>
      </c>
      <c r="D11" s="98">
        <v>585898873654.36926</v>
      </c>
      <c r="E11" s="98">
        <v>306250206405.79993</v>
      </c>
      <c r="F11" s="98">
        <v>342507389138.5332</v>
      </c>
      <c r="G11" s="98">
        <v>266456342194.7272</v>
      </c>
      <c r="H11" s="98">
        <v>248543113646.40997</v>
      </c>
      <c r="I11" s="100">
        <v>5.3673267014631203E-2</v>
      </c>
      <c r="J11" s="100">
        <v>-0.1884311962974633</v>
      </c>
      <c r="K11" s="100">
        <v>0.36397631908505979</v>
      </c>
      <c r="L11" s="100">
        <v>0.42420821206942511</v>
      </c>
      <c r="M11" s="98">
        <v>-93964275492.12323</v>
      </c>
      <c r="N11" s="100">
        <v>-0.27434233091572136</v>
      </c>
      <c r="O11" s="98">
        <v>-17913228548.31723</v>
      </c>
      <c r="P11" s="99">
        <v>0.93277236938415153</v>
      </c>
    </row>
    <row r="12" spans="2:16">
      <c r="B12" s="101" t="s">
        <v>144</v>
      </c>
      <c r="C12" s="73">
        <v>219373442100.99969</v>
      </c>
      <c r="D12" s="73">
        <v>203516787748.32001</v>
      </c>
      <c r="E12" s="73">
        <v>102426855892.45</v>
      </c>
      <c r="F12" s="73">
        <v>117916811952.02815</v>
      </c>
      <c r="G12" s="73">
        <v>92390344454.607773</v>
      </c>
      <c r="H12" s="73">
        <v>86944771716.199982</v>
      </c>
      <c r="I12" s="103">
        <v>1.8775856950471428E-2</v>
      </c>
      <c r="J12" s="103">
        <v>-0.15115258631492579</v>
      </c>
      <c r="K12" s="103">
        <v>0.39633225828753943</v>
      </c>
      <c r="L12" s="103">
        <v>0.42721179259040076</v>
      </c>
      <c r="M12" s="73">
        <v>-30972040235.828171</v>
      </c>
      <c r="N12" s="103">
        <v>-0.26266008826992759</v>
      </c>
      <c r="O12" s="73">
        <v>-5445572738.4077911</v>
      </c>
      <c r="P12" s="102">
        <v>0.94105907093913643</v>
      </c>
    </row>
    <row r="13" spans="2:16">
      <c r="B13" s="104" t="s">
        <v>145</v>
      </c>
      <c r="C13" s="73">
        <v>65805917118.274216</v>
      </c>
      <c r="D13" s="73">
        <v>62464626316</v>
      </c>
      <c r="E13" s="73">
        <v>31133565113.62999</v>
      </c>
      <c r="F13" s="73">
        <v>35168815353.570801</v>
      </c>
      <c r="G13" s="73">
        <v>32321088340.644596</v>
      </c>
      <c r="H13" s="73">
        <v>30686747559.539986</v>
      </c>
      <c r="I13" s="103">
        <v>6.6268502530991875E-3</v>
      </c>
      <c r="J13" s="103">
        <v>-1.4351634721536999E-2</v>
      </c>
      <c r="K13" s="103">
        <v>0.46632201028953241</v>
      </c>
      <c r="L13" s="103">
        <v>0.49126600715915075</v>
      </c>
      <c r="M13" s="73">
        <v>-4482067794.0308151</v>
      </c>
      <c r="N13" s="103">
        <v>-0.12744437789474006</v>
      </c>
      <c r="O13" s="73">
        <v>-1634340781.1046104</v>
      </c>
      <c r="P13" s="102">
        <v>0.94943422808416433</v>
      </c>
    </row>
    <row r="14" spans="2:16">
      <c r="B14" s="104" t="s">
        <v>146</v>
      </c>
      <c r="C14" s="73">
        <v>114386973149.82835</v>
      </c>
      <c r="D14" s="73">
        <v>105172576538.72264</v>
      </c>
      <c r="E14" s="73">
        <v>51059227392.829987</v>
      </c>
      <c r="F14" s="73">
        <v>61463426168.445801</v>
      </c>
      <c r="G14" s="73">
        <v>41876643775.160248</v>
      </c>
      <c r="H14" s="73">
        <v>39563438604.779999</v>
      </c>
      <c r="I14" s="103">
        <v>8.5437853139327859E-3</v>
      </c>
      <c r="J14" s="103">
        <v>-0.22514615623941636</v>
      </c>
      <c r="K14" s="103">
        <v>0.34587363853887731</v>
      </c>
      <c r="L14" s="103">
        <v>0.37617637512392271</v>
      </c>
      <c r="M14" s="73">
        <v>-21899987563.665802</v>
      </c>
      <c r="N14" s="103">
        <v>-0.35630925460691054</v>
      </c>
      <c r="O14" s="73">
        <v>-2313205170.380249</v>
      </c>
      <c r="P14" s="102">
        <v>0.94476144786578242</v>
      </c>
    </row>
    <row r="15" spans="2:16">
      <c r="B15" s="104" t="s">
        <v>147</v>
      </c>
      <c r="C15" s="73">
        <v>39180551832.897125</v>
      </c>
      <c r="D15" s="73">
        <v>35879584892.396065</v>
      </c>
      <c r="E15" s="73">
        <v>20234063385.990002</v>
      </c>
      <c r="F15" s="73">
        <v>21284570430.011551</v>
      </c>
      <c r="G15" s="73">
        <v>18192612338.802929</v>
      </c>
      <c r="H15" s="73">
        <v>16694585551.879997</v>
      </c>
      <c r="I15" s="103">
        <v>3.605221383439453E-3</v>
      </c>
      <c r="J15" s="103">
        <v>-0.17492669497915714</v>
      </c>
      <c r="K15" s="103">
        <v>0.42609368094358335</v>
      </c>
      <c r="L15" s="103">
        <v>0.46529483554359818</v>
      </c>
      <c r="M15" s="73">
        <v>-4589984878.1315536</v>
      </c>
      <c r="N15" s="103">
        <v>-0.21564846202672749</v>
      </c>
      <c r="O15" s="73">
        <v>-1498026786.9229317</v>
      </c>
      <c r="P15" s="102">
        <v>0.91765741175456161</v>
      </c>
    </row>
    <row r="16" spans="2:16">
      <c r="B16" s="101" t="s">
        <v>148</v>
      </c>
      <c r="C16" s="73">
        <v>31554762306.148045</v>
      </c>
      <c r="D16" s="73">
        <v>25482850926.636597</v>
      </c>
      <c r="E16" s="73">
        <v>14777590941.34</v>
      </c>
      <c r="F16" s="73">
        <v>15939769817.358881</v>
      </c>
      <c r="G16" s="73">
        <v>10429554922.668167</v>
      </c>
      <c r="H16" s="73">
        <v>9433411393.1000004</v>
      </c>
      <c r="I16" s="103">
        <v>2.0371596747638713E-3</v>
      </c>
      <c r="J16" s="103">
        <v>-0.3616407822799973</v>
      </c>
      <c r="K16" s="103">
        <v>0.29895365084914677</v>
      </c>
      <c r="L16" s="103">
        <v>0.3701866569112755</v>
      </c>
      <c r="M16" s="73">
        <v>-6506358424.2588806</v>
      </c>
      <c r="N16" s="103">
        <v>-0.40818396368392118</v>
      </c>
      <c r="O16" s="73">
        <v>-996143529.56816673</v>
      </c>
      <c r="P16" s="102">
        <v>0.9044883950509629</v>
      </c>
    </row>
    <row r="17" spans="2:16">
      <c r="B17" s="101" t="s">
        <v>149</v>
      </c>
      <c r="C17" s="73">
        <v>386199160821.3446</v>
      </c>
      <c r="D17" s="73">
        <v>321047411860.4198</v>
      </c>
      <c r="E17" s="73">
        <v>169373511614.72998</v>
      </c>
      <c r="F17" s="73">
        <v>186867019368.10431</v>
      </c>
      <c r="G17" s="73">
        <v>147438721420.84198</v>
      </c>
      <c r="H17" s="73">
        <v>137628829723.23016</v>
      </c>
      <c r="I17" s="103">
        <v>2.9721157099348361E-2</v>
      </c>
      <c r="J17" s="103">
        <v>-0.18742412310437717</v>
      </c>
      <c r="K17" s="103">
        <v>0.35636750072301981</v>
      </c>
      <c r="L17" s="103">
        <v>0.42868693108501488</v>
      </c>
      <c r="M17" s="73">
        <v>-49238189644.874146</v>
      </c>
      <c r="N17" s="103">
        <v>-0.26349320394457176</v>
      </c>
      <c r="O17" s="73">
        <v>-9809891697.6118164</v>
      </c>
      <c r="P17" s="102">
        <v>0.93346461768607625</v>
      </c>
    </row>
    <row r="18" spans="2:16">
      <c r="B18" s="104" t="s">
        <v>150</v>
      </c>
      <c r="C18" s="73">
        <v>239194486328.29242</v>
      </c>
      <c r="D18" s="73">
        <v>204338758301.37646</v>
      </c>
      <c r="E18" s="73">
        <v>105337634756.82996</v>
      </c>
      <c r="F18" s="73">
        <v>115758513751.11548</v>
      </c>
      <c r="G18" s="73">
        <v>94480818671.959381</v>
      </c>
      <c r="H18" s="73">
        <v>88658943344.560104</v>
      </c>
      <c r="I18" s="103">
        <v>1.914603494562107E-2</v>
      </c>
      <c r="J18" s="103">
        <v>-0.15833554124100391</v>
      </c>
      <c r="K18" s="103">
        <v>0.37065630025801033</v>
      </c>
      <c r="L18" s="103">
        <v>0.43388216744372221</v>
      </c>
      <c r="M18" s="73">
        <v>-27099570406.555374</v>
      </c>
      <c r="N18" s="103">
        <v>-0.23410433952892939</v>
      </c>
      <c r="O18" s="73">
        <v>-5821875327.3992767</v>
      </c>
      <c r="P18" s="102">
        <v>0.93838034630486189</v>
      </c>
    </row>
    <row r="19" spans="2:16">
      <c r="B19" s="104" t="s">
        <v>151</v>
      </c>
      <c r="C19" s="73">
        <v>130590515873.8504</v>
      </c>
      <c r="D19" s="73">
        <v>114902564176.42192</v>
      </c>
      <c r="E19" s="73">
        <v>61058047439.259972</v>
      </c>
      <c r="F19" s="73">
        <v>66677940464.591797</v>
      </c>
      <c r="G19" s="73">
        <v>56069703920.235703</v>
      </c>
      <c r="H19" s="73">
        <v>53168670080.599976</v>
      </c>
      <c r="I19" s="103">
        <v>1.1481855941133599E-2</v>
      </c>
      <c r="J19" s="103">
        <v>-0.12921109811951126</v>
      </c>
      <c r="K19" s="103">
        <v>0.40714036333205522</v>
      </c>
      <c r="L19" s="103">
        <v>0.46272831648007923</v>
      </c>
      <c r="M19" s="73">
        <v>-13509270383.991821</v>
      </c>
      <c r="N19" s="103">
        <v>-0.20260479387730479</v>
      </c>
      <c r="O19" s="73">
        <v>-2901033839.6357269</v>
      </c>
      <c r="P19" s="102">
        <v>0.94826022545503874</v>
      </c>
    </row>
    <row r="20" spans="2:16">
      <c r="B20" s="104" t="s">
        <v>152</v>
      </c>
      <c r="C20" s="73">
        <v>108603970454.44203</v>
      </c>
      <c r="D20" s="73">
        <v>89436194124.954529</v>
      </c>
      <c r="E20" s="73">
        <v>44279587317.570007</v>
      </c>
      <c r="F20" s="73">
        <v>49080573286.523682</v>
      </c>
      <c r="G20" s="73">
        <v>38411114751.723679</v>
      </c>
      <c r="H20" s="73">
        <v>35490273263.960007</v>
      </c>
      <c r="I20" s="103">
        <v>7.6641790044874453E-3</v>
      </c>
      <c r="J20" s="103">
        <v>-0.19849584393308983</v>
      </c>
      <c r="K20" s="103">
        <v>0.32678614893594266</v>
      </c>
      <c r="L20" s="103">
        <v>0.39682226654653113</v>
      </c>
      <c r="M20" s="73">
        <v>-13590300022.563675</v>
      </c>
      <c r="N20" s="103">
        <v>-0.2768977441079572</v>
      </c>
      <c r="O20" s="73">
        <v>-2920841487.7636719</v>
      </c>
      <c r="P20" s="102">
        <v>0.9239584295680302</v>
      </c>
    </row>
    <row r="21" spans="2:16">
      <c r="B21" s="104" t="s">
        <v>153</v>
      </c>
      <c r="C21" s="73">
        <v>43970590626.439278</v>
      </c>
      <c r="D21" s="73">
        <v>36064685275.585022</v>
      </c>
      <c r="E21" s="73">
        <v>19327817089.5</v>
      </c>
      <c r="F21" s="73">
        <v>21536893132.17601</v>
      </c>
      <c r="G21" s="73">
        <v>16833575046.099121</v>
      </c>
      <c r="H21" s="73">
        <v>15039960547.790001</v>
      </c>
      <c r="I21" s="103">
        <v>3.2479025732311284E-3</v>
      </c>
      <c r="J21" s="103">
        <v>-0.22184898179936796</v>
      </c>
      <c r="K21" s="103">
        <v>0.34204590690093106</v>
      </c>
      <c r="L21" s="103">
        <v>0.41702736161049253</v>
      </c>
      <c r="M21" s="73">
        <v>-6496932584.3860092</v>
      </c>
      <c r="N21" s="103">
        <v>-0.3016652654824955</v>
      </c>
      <c r="O21" s="73">
        <v>-1793614498.3091202</v>
      </c>
      <c r="P21" s="102">
        <v>0.89345017363232304</v>
      </c>
    </row>
    <row r="22" spans="2:16">
      <c r="B22" s="104" t="s">
        <v>154</v>
      </c>
      <c r="C22" s="73">
        <v>23201002234.355881</v>
      </c>
      <c r="D22" s="73">
        <v>14601086864.652487</v>
      </c>
      <c r="E22" s="73">
        <v>9855617365.4399967</v>
      </c>
      <c r="F22" s="73">
        <v>11258554598.596134</v>
      </c>
      <c r="G22" s="73">
        <v>7409424589.0885086</v>
      </c>
      <c r="H22" s="73">
        <v>6553044008.3000002</v>
      </c>
      <c r="I22" s="103">
        <v>1.4151399153890637E-3</v>
      </c>
      <c r="J22" s="103">
        <v>-0.3350955333068123</v>
      </c>
      <c r="K22" s="103">
        <v>0.28244659183715343</v>
      </c>
      <c r="L22" s="103">
        <v>0.44880522039521242</v>
      </c>
      <c r="M22" s="73">
        <v>-4705510590.296134</v>
      </c>
      <c r="N22" s="103">
        <v>-0.41794979533899312</v>
      </c>
      <c r="O22" s="73">
        <v>-856380580.78850842</v>
      </c>
      <c r="P22" s="102">
        <v>0.88442009625826312</v>
      </c>
    </row>
    <row r="23" spans="2:16">
      <c r="B23" s="104" t="s">
        <v>155</v>
      </c>
      <c r="C23" s="73">
        <v>34631744223.719337</v>
      </c>
      <c r="D23" s="73">
        <v>27043426702.432884</v>
      </c>
      <c r="E23" s="73">
        <v>14997646281.799999</v>
      </c>
      <c r="F23" s="73">
        <v>16774094362.421455</v>
      </c>
      <c r="G23" s="73">
        <v>12612121363.693356</v>
      </c>
      <c r="H23" s="73">
        <v>12543057478.480003</v>
      </c>
      <c r="I23" s="103">
        <v>2.7086925215722962E-3</v>
      </c>
      <c r="J23" s="103">
        <v>-0.16366493496374146</v>
      </c>
      <c r="K23" s="103">
        <v>0.36218382179807285</v>
      </c>
      <c r="L23" s="103">
        <v>0.4638116913398258</v>
      </c>
      <c r="M23" s="73">
        <v>-4231036883.941452</v>
      </c>
      <c r="N23" s="103">
        <v>-0.25223638263417236</v>
      </c>
      <c r="O23" s="73">
        <v>-69063885.213352203</v>
      </c>
      <c r="P23" s="102">
        <v>0.99452400724495349</v>
      </c>
    </row>
    <row r="24" spans="2:16">
      <c r="B24" s="104" t="s">
        <v>156</v>
      </c>
      <c r="C24" s="73">
        <v>4280008706.0326853</v>
      </c>
      <c r="D24" s="73">
        <v>3466988648.5884395</v>
      </c>
      <c r="E24" s="73">
        <v>1817450220.5700004</v>
      </c>
      <c r="F24" s="73">
        <v>2018656134.1916413</v>
      </c>
      <c r="G24" s="73">
        <v>1365200099.4880168</v>
      </c>
      <c r="H24" s="73">
        <v>1461640777.0000002</v>
      </c>
      <c r="I24" s="103">
        <v>3.1564357005280964E-4</v>
      </c>
      <c r="J24" s="103">
        <v>-0.19577396923609214</v>
      </c>
      <c r="K24" s="103">
        <v>0.34150415977888388</v>
      </c>
      <c r="L24" s="103">
        <v>0.42158799037173</v>
      </c>
      <c r="M24" s="73">
        <v>-557015357.19164109</v>
      </c>
      <c r="N24" s="103">
        <v>-0.27593375006124776</v>
      </c>
      <c r="O24" s="73">
        <v>96440677.511983395</v>
      </c>
      <c r="P24" s="102">
        <v>1.0706421553500847</v>
      </c>
    </row>
    <row r="25" spans="2:16">
      <c r="B25" s="104" t="s">
        <v>157</v>
      </c>
      <c r="C25" s="73">
        <v>40921328702.505013</v>
      </c>
      <c r="D25" s="73">
        <v>35532466067.7845</v>
      </c>
      <c r="E25" s="73">
        <v>18037345900.590031</v>
      </c>
      <c r="F25" s="73">
        <v>19520307389.603592</v>
      </c>
      <c r="G25" s="73">
        <v>14737581650.513597</v>
      </c>
      <c r="H25" s="73">
        <v>13372183567.100056</v>
      </c>
      <c r="I25" s="103">
        <v>2.8877435734819923E-3</v>
      </c>
      <c r="J25" s="103">
        <v>-0.25863906803147629</v>
      </c>
      <c r="K25" s="103">
        <v>0.32677784400195864</v>
      </c>
      <c r="L25" s="103">
        <v>0.37633705303736131</v>
      </c>
      <c r="M25" s="73">
        <v>-6148123822.5035362</v>
      </c>
      <c r="N25" s="103">
        <v>-0.31496039994626279</v>
      </c>
      <c r="O25" s="73">
        <v>-1365398083.4135418</v>
      </c>
      <c r="P25" s="102">
        <v>0.90735263655920384</v>
      </c>
    </row>
    <row r="26" spans="2:16">
      <c r="B26" s="101" t="s">
        <v>158</v>
      </c>
      <c r="C26" s="73">
        <v>44819518908.377815</v>
      </c>
      <c r="D26" s="73">
        <v>35189658273.920898</v>
      </c>
      <c r="E26" s="73">
        <v>19261241690.270004</v>
      </c>
      <c r="F26" s="73">
        <v>21322615953.105724</v>
      </c>
      <c r="G26" s="73">
        <v>15936060106.501183</v>
      </c>
      <c r="H26" s="73">
        <v>14304355267.990002</v>
      </c>
      <c r="I26" s="103">
        <v>3.0890474835815816E-3</v>
      </c>
      <c r="J26" s="103">
        <v>-0.25735030492785005</v>
      </c>
      <c r="K26" s="103">
        <v>0.31915459193642043</v>
      </c>
      <c r="L26" s="103">
        <v>0.40649315650191969</v>
      </c>
      <c r="M26" s="73">
        <v>-7018260685.1157227</v>
      </c>
      <c r="N26" s="103">
        <v>-0.32914632522345288</v>
      </c>
      <c r="O26" s="73">
        <v>-1631704838.5111809</v>
      </c>
      <c r="P26" s="102">
        <v>0.8976092693171055</v>
      </c>
    </row>
    <row r="27" spans="2:16">
      <c r="B27" s="104" t="s">
        <v>159</v>
      </c>
      <c r="C27" s="73">
        <v>35470119773.201942</v>
      </c>
      <c r="D27" s="73">
        <v>29171221063.967808</v>
      </c>
      <c r="E27" s="73">
        <v>15061618859.280003</v>
      </c>
      <c r="F27" s="73">
        <v>16567468220.269793</v>
      </c>
      <c r="G27" s="73">
        <v>13143543694.075815</v>
      </c>
      <c r="H27" s="73">
        <v>12176329366.25</v>
      </c>
      <c r="I27" s="103">
        <v>2.6294970226477298E-3</v>
      </c>
      <c r="J27" s="103">
        <v>-0.19156569555949643</v>
      </c>
      <c r="K27" s="103">
        <v>0.34328413448012512</v>
      </c>
      <c r="L27" s="103">
        <v>0.41740897097002772</v>
      </c>
      <c r="M27" s="73">
        <v>-4391138854.0197926</v>
      </c>
      <c r="N27" s="103">
        <v>-0.26504585949030934</v>
      </c>
      <c r="O27" s="73">
        <v>-967214327.8258152</v>
      </c>
      <c r="P27" s="102">
        <v>0.92641144958024013</v>
      </c>
    </row>
    <row r="28" spans="2:16">
      <c r="B28" s="104" t="s">
        <v>160</v>
      </c>
      <c r="C28" s="73">
        <v>9349399135.1758728</v>
      </c>
      <c r="D28" s="73">
        <v>6018437209.9530907</v>
      </c>
      <c r="E28" s="73">
        <v>4199622830.9900017</v>
      </c>
      <c r="F28" s="73">
        <v>4755147732.8359318</v>
      </c>
      <c r="G28" s="73">
        <v>2792516412.4253674</v>
      </c>
      <c r="H28" s="73">
        <v>2128025901.7400017</v>
      </c>
      <c r="I28" s="103">
        <v>4.5955046093385194E-4</v>
      </c>
      <c r="J28" s="103">
        <v>-0.49328166185858413</v>
      </c>
      <c r="K28" s="103">
        <v>0.22761098023225756</v>
      </c>
      <c r="L28" s="103">
        <v>0.35358446512007197</v>
      </c>
      <c r="M28" s="73">
        <v>-2627121831.0959301</v>
      </c>
      <c r="N28" s="103">
        <v>-0.55247953979531483</v>
      </c>
      <c r="O28" s="73">
        <v>-664490510.68536568</v>
      </c>
      <c r="P28" s="102">
        <v>0.76204597841262467</v>
      </c>
    </row>
    <row r="29" spans="2:16">
      <c r="B29" s="101" t="s">
        <v>161</v>
      </c>
      <c r="C29" s="73">
        <v>906365223.55262363</v>
      </c>
      <c r="D29" s="73">
        <v>660771736.07119334</v>
      </c>
      <c r="E29" s="73">
        <v>409955463.02999997</v>
      </c>
      <c r="F29" s="73">
        <v>459992987.02558959</v>
      </c>
      <c r="G29" s="73">
        <v>261016358.02558964</v>
      </c>
      <c r="H29" s="73">
        <v>231491280.97999996</v>
      </c>
      <c r="I29" s="103">
        <v>4.9990897568277983E-5</v>
      </c>
      <c r="J29" s="103">
        <v>-0.43532578083229556</v>
      </c>
      <c r="K29" s="103">
        <v>0.25540618170745555</v>
      </c>
      <c r="L29" s="103">
        <v>0.35033471975723013</v>
      </c>
      <c r="M29" s="73">
        <v>-228501706.04558963</v>
      </c>
      <c r="N29" s="103">
        <v>-0.49675041248591467</v>
      </c>
      <c r="O29" s="73">
        <v>-29525077.045589685</v>
      </c>
      <c r="P29" s="102">
        <v>0.8868841889108916</v>
      </c>
    </row>
    <row r="30" spans="2:16">
      <c r="B30" s="101" t="s">
        <v>162</v>
      </c>
      <c r="C30" s="73">
        <v>1927237.8286648369</v>
      </c>
      <c r="D30" s="73">
        <v>1393109.000578997</v>
      </c>
      <c r="E30" s="73">
        <v>1050803.98</v>
      </c>
      <c r="F30" s="73">
        <v>1179060.91058288</v>
      </c>
      <c r="G30" s="73">
        <v>644932.08249704004</v>
      </c>
      <c r="H30" s="73">
        <v>254264.91000000003</v>
      </c>
      <c r="I30" s="103">
        <v>5.4908897722655922E-8</v>
      </c>
      <c r="J30" s="103">
        <v>-0.75802821949722721</v>
      </c>
      <c r="K30" s="103">
        <v>0.13193229513149976</v>
      </c>
      <c r="L30" s="103">
        <v>0.18251616341170987</v>
      </c>
      <c r="M30" s="73">
        <v>-924796.00058287999</v>
      </c>
      <c r="N30" s="103">
        <v>-0.784349639855076</v>
      </c>
      <c r="O30" s="73">
        <v>-390667.17249704001</v>
      </c>
      <c r="P30" s="102">
        <v>0.39425067677753028</v>
      </c>
    </row>
    <row r="31" spans="2:16">
      <c r="B31" s="97" t="s">
        <v>163</v>
      </c>
      <c r="C31" s="98">
        <v>2807427600.9023719</v>
      </c>
      <c r="D31" s="98">
        <v>2665790407.557941</v>
      </c>
      <c r="E31" s="98">
        <v>1310360809.1199999</v>
      </c>
      <c r="F31" s="98">
        <v>1339706891.1444507</v>
      </c>
      <c r="G31" s="98">
        <v>1319706891.1444509</v>
      </c>
      <c r="H31" s="98">
        <v>1223612001.3199997</v>
      </c>
      <c r="I31" s="100">
        <v>2.6424089046614484E-4</v>
      </c>
      <c r="J31" s="100">
        <v>-6.6202230100469883E-2</v>
      </c>
      <c r="K31" s="100">
        <v>0.4358481055492589</v>
      </c>
      <c r="L31" s="100">
        <v>0.45900532834496838</v>
      </c>
      <c r="M31" s="98">
        <v>-116094889.82445097</v>
      </c>
      <c r="N31" s="100">
        <v>-8.6656932640897577E-2</v>
      </c>
      <c r="O31" s="98">
        <v>-96094889.824451208</v>
      </c>
      <c r="P31" s="99">
        <v>0.92718467224103251</v>
      </c>
    </row>
    <row r="32" spans="2:16">
      <c r="B32" s="101" t="s">
        <v>164</v>
      </c>
      <c r="C32" s="73">
        <v>1048866713.3810107</v>
      </c>
      <c r="D32" s="73">
        <v>1025194629.7465473</v>
      </c>
      <c r="E32" s="73">
        <v>577725737.77999997</v>
      </c>
      <c r="F32" s="73">
        <v>507649313.53697556</v>
      </c>
      <c r="G32" s="73">
        <v>497649313.53697556</v>
      </c>
      <c r="H32" s="73">
        <v>454709492.53999996</v>
      </c>
      <c r="I32" s="103">
        <v>9.8195213092516903E-5</v>
      </c>
      <c r="J32" s="103">
        <v>-0.21293191075874318</v>
      </c>
      <c r="K32" s="103">
        <v>0.43352457155804741</v>
      </c>
      <c r="L32" s="103">
        <v>0.44353479753636149</v>
      </c>
      <c r="M32" s="73">
        <v>-52939820.996975601</v>
      </c>
      <c r="N32" s="103">
        <v>-0.10428423635230555</v>
      </c>
      <c r="O32" s="73">
        <v>-42939820.996975601</v>
      </c>
      <c r="P32" s="102">
        <v>0.91371469862625432</v>
      </c>
    </row>
    <row r="33" spans="2:16">
      <c r="B33" s="104" t="s">
        <v>165</v>
      </c>
      <c r="C33" s="73">
        <v>799133604.16442823</v>
      </c>
      <c r="D33" s="73">
        <v>789133604.16442823</v>
      </c>
      <c r="E33" s="73">
        <v>486292830.19999999</v>
      </c>
      <c r="F33" s="73">
        <v>395280882.18939108</v>
      </c>
      <c r="G33" s="73">
        <v>385280882.18939108</v>
      </c>
      <c r="H33" s="73">
        <v>353191146.62</v>
      </c>
      <c r="I33" s="103">
        <v>7.6272170415906583E-5</v>
      </c>
      <c r="J33" s="103">
        <v>-0.27370685997006905</v>
      </c>
      <c r="K33" s="103">
        <v>0.44196758186548246</v>
      </c>
      <c r="L33" s="103">
        <v>0.44756825049159504</v>
      </c>
      <c r="M33" s="73">
        <v>-42089735.569391072</v>
      </c>
      <c r="N33" s="103">
        <v>-0.10648057486682239</v>
      </c>
      <c r="O33" s="73">
        <v>-32089735.569391072</v>
      </c>
      <c r="P33" s="102">
        <v>0.91671080229302204</v>
      </c>
    </row>
    <row r="34" spans="2:16">
      <c r="B34" s="104" t="s">
        <v>166</v>
      </c>
      <c r="C34" s="73">
        <v>249733109.21658242</v>
      </c>
      <c r="D34" s="73">
        <v>236061025.58211911</v>
      </c>
      <c r="E34" s="73">
        <v>91432907.579999983</v>
      </c>
      <c r="F34" s="73">
        <v>112368431.34758449</v>
      </c>
      <c r="G34" s="73">
        <v>112368431.34758449</v>
      </c>
      <c r="H34" s="73">
        <v>101518345.91999999</v>
      </c>
      <c r="I34" s="103">
        <v>2.1923042676610323E-5</v>
      </c>
      <c r="J34" s="103">
        <v>0.11030425048197956</v>
      </c>
      <c r="K34" s="103">
        <v>0.40650735594677451</v>
      </c>
      <c r="L34" s="103">
        <v>0.43005127877276189</v>
      </c>
      <c r="M34" s="73">
        <v>-10850085.427584499</v>
      </c>
      <c r="N34" s="103">
        <v>-9.6558128448215097E-2</v>
      </c>
      <c r="O34" s="73">
        <v>-10850085.427584499</v>
      </c>
      <c r="P34" s="102">
        <v>0.9034418715517849</v>
      </c>
    </row>
    <row r="35" spans="2:16">
      <c r="B35" s="101" t="s">
        <v>167</v>
      </c>
      <c r="C35" s="73">
        <v>1758560887.5213611</v>
      </c>
      <c r="D35" s="73">
        <v>1640595777.8113935</v>
      </c>
      <c r="E35" s="73">
        <v>732635071.33999991</v>
      </c>
      <c r="F35" s="73">
        <v>832057577.60747504</v>
      </c>
      <c r="G35" s="73">
        <v>822057577.60747528</v>
      </c>
      <c r="H35" s="73">
        <v>768902508.77999973</v>
      </c>
      <c r="I35" s="103">
        <v>1.6604567737362795E-4</v>
      </c>
      <c r="J35" s="103">
        <v>4.9502731794788479E-2</v>
      </c>
      <c r="K35" s="103">
        <v>0.43723394181917963</v>
      </c>
      <c r="L35" s="103">
        <v>0.46867273412451416</v>
      </c>
      <c r="M35" s="73">
        <v>-63155068.827475309</v>
      </c>
      <c r="N35" s="103">
        <v>-7.5902281917885284E-2</v>
      </c>
      <c r="O35" s="73">
        <v>-53155068.827475548</v>
      </c>
      <c r="P35" s="102">
        <v>0.93533899537526488</v>
      </c>
    </row>
    <row r="36" spans="2:16">
      <c r="B36" s="104" t="s">
        <v>168</v>
      </c>
      <c r="C36" s="73">
        <v>1758560887.5213611</v>
      </c>
      <c r="D36" s="73">
        <v>1640595777.8113935</v>
      </c>
      <c r="E36" s="73">
        <v>732635071.33999991</v>
      </c>
      <c r="F36" s="73">
        <v>832057577.60747504</v>
      </c>
      <c r="G36" s="73">
        <v>822057577.60747528</v>
      </c>
      <c r="H36" s="73">
        <v>768902508.77999973</v>
      </c>
      <c r="I36" s="103">
        <v>1.6604567737362795E-4</v>
      </c>
      <c r="J36" s="103">
        <v>4.9502731794788479E-2</v>
      </c>
      <c r="K36" s="103">
        <v>0.43723394181917963</v>
      </c>
      <c r="L36" s="103">
        <v>0.46867273412451416</v>
      </c>
      <c r="M36" s="73">
        <v>-63155068.827475309</v>
      </c>
      <c r="N36" s="103">
        <v>-7.5902281917885284E-2</v>
      </c>
      <c r="O36" s="73">
        <v>-53155068.827475548</v>
      </c>
      <c r="P36" s="102">
        <v>0.93533899537526488</v>
      </c>
    </row>
    <row r="37" spans="2:16">
      <c r="B37" s="104" t="s">
        <v>169</v>
      </c>
      <c r="C37" s="73">
        <v>0</v>
      </c>
      <c r="D37" s="73">
        <v>0</v>
      </c>
      <c r="E37" s="73">
        <v>0</v>
      </c>
      <c r="F37" s="73">
        <v>0</v>
      </c>
      <c r="G37" s="73">
        <v>0</v>
      </c>
      <c r="H37" s="73">
        <v>0</v>
      </c>
      <c r="I37" s="103">
        <v>0</v>
      </c>
      <c r="J37" s="103">
        <v>0</v>
      </c>
      <c r="K37" s="103">
        <v>0</v>
      </c>
      <c r="L37" s="103">
        <v>0</v>
      </c>
      <c r="M37" s="73">
        <v>0</v>
      </c>
      <c r="N37" s="103">
        <v>0</v>
      </c>
      <c r="O37" s="73">
        <v>0</v>
      </c>
      <c r="P37" s="102">
        <v>0</v>
      </c>
    </row>
    <row r="38" spans="2:16">
      <c r="B38" s="101" t="s">
        <v>170</v>
      </c>
      <c r="C38" s="73">
        <v>0</v>
      </c>
      <c r="D38" s="73">
        <v>0</v>
      </c>
      <c r="E38" s="73">
        <v>0</v>
      </c>
      <c r="F38" s="73">
        <v>0</v>
      </c>
      <c r="G38" s="73">
        <v>0</v>
      </c>
      <c r="H38" s="73">
        <v>0</v>
      </c>
      <c r="I38" s="103">
        <v>0</v>
      </c>
      <c r="J38" s="103">
        <v>0</v>
      </c>
      <c r="K38" s="103">
        <v>0</v>
      </c>
      <c r="L38" s="103">
        <v>0</v>
      </c>
      <c r="M38" s="73">
        <v>0</v>
      </c>
      <c r="N38" s="103">
        <v>0</v>
      </c>
      <c r="O38" s="73">
        <v>0</v>
      </c>
      <c r="P38" s="102">
        <v>0</v>
      </c>
    </row>
    <row r="39" spans="2:16">
      <c r="B39" s="97" t="s">
        <v>171</v>
      </c>
      <c r="C39" s="98">
        <v>30264933367.057304</v>
      </c>
      <c r="D39" s="98">
        <v>20602031354.348972</v>
      </c>
      <c r="E39" s="98">
        <v>12804166153.4</v>
      </c>
      <c r="F39" s="98">
        <v>14957411088.723038</v>
      </c>
      <c r="G39" s="98">
        <v>9682382604.2356815</v>
      </c>
      <c r="H39" s="98">
        <v>9040835195.5200024</v>
      </c>
      <c r="I39" s="100">
        <v>1.9523822421198258E-3</v>
      </c>
      <c r="J39" s="100">
        <v>-0.29391456755508349</v>
      </c>
      <c r="K39" s="100">
        <v>0.29872311582092387</v>
      </c>
      <c r="L39" s="100">
        <v>0.43883222193094729</v>
      </c>
      <c r="M39" s="98">
        <v>-5916575893.2030354</v>
      </c>
      <c r="N39" s="100">
        <v>-0.39556149510818539</v>
      </c>
      <c r="O39" s="98">
        <v>-641547408.71567917</v>
      </c>
      <c r="P39" s="99">
        <v>0.9337407500882039</v>
      </c>
    </row>
    <row r="40" spans="2:16">
      <c r="B40" s="101" t="s">
        <v>172</v>
      </c>
      <c r="C40" s="73">
        <v>25405895833.929295</v>
      </c>
      <c r="D40" s="73">
        <v>17324041852.455505</v>
      </c>
      <c r="E40" s="73">
        <v>10298774189.509998</v>
      </c>
      <c r="F40" s="73">
        <v>12225377396.613552</v>
      </c>
      <c r="G40" s="73">
        <v>7920942107.3378296</v>
      </c>
      <c r="H40" s="73">
        <v>7128166821.5600033</v>
      </c>
      <c r="I40" s="103">
        <v>1.5393385699783251E-3</v>
      </c>
      <c r="J40" s="103">
        <v>-0.30786259700494012</v>
      </c>
      <c r="K40" s="103">
        <v>0.28057136296844981</v>
      </c>
      <c r="L40" s="103">
        <v>0.41146095595178089</v>
      </c>
      <c r="M40" s="73">
        <v>-5097210575.0535488</v>
      </c>
      <c r="N40" s="103">
        <v>-0.41693686907902605</v>
      </c>
      <c r="O40" s="73">
        <v>-792775285.77782631</v>
      </c>
      <c r="P40" s="102">
        <v>0.89991401590431874</v>
      </c>
    </row>
    <row r="41" spans="2:16">
      <c r="B41" s="101" t="s">
        <v>173</v>
      </c>
      <c r="C41" s="73">
        <v>4859037533.1280088</v>
      </c>
      <c r="D41" s="73">
        <v>3277989501.8934655</v>
      </c>
      <c r="E41" s="73">
        <v>2505391963.8899999</v>
      </c>
      <c r="F41" s="73">
        <v>2732033692.1094847</v>
      </c>
      <c r="G41" s="73">
        <v>1761440496.8978524</v>
      </c>
      <c r="H41" s="73">
        <v>1912668373.9599993</v>
      </c>
      <c r="I41" s="103">
        <v>4.1304367214150081E-4</v>
      </c>
      <c r="J41" s="103">
        <v>-0.23657918540207479</v>
      </c>
      <c r="K41" s="103">
        <v>0.39363111746303342</v>
      </c>
      <c r="L41" s="103">
        <v>0.58348825487549139</v>
      </c>
      <c r="M41" s="73">
        <v>-819365318.14948535</v>
      </c>
      <c r="N41" s="103">
        <v>-0.29991040026919613</v>
      </c>
      <c r="O41" s="73">
        <v>151227877.0621469</v>
      </c>
      <c r="P41" s="102">
        <v>1.0858546611869551</v>
      </c>
    </row>
    <row r="42" spans="2:16">
      <c r="B42" s="97" t="s">
        <v>174</v>
      </c>
      <c r="C42" s="98">
        <v>10575257071.097603</v>
      </c>
      <c r="D42" s="98">
        <v>16011314965.606197</v>
      </c>
      <c r="E42" s="98">
        <v>8023442956.3000011</v>
      </c>
      <c r="F42" s="98">
        <v>7856660454.3779364</v>
      </c>
      <c r="G42" s="98">
        <v>3525765933.2580228</v>
      </c>
      <c r="H42" s="98">
        <v>3136721906.8599997</v>
      </c>
      <c r="I42" s="100">
        <v>6.7737991203029144E-4</v>
      </c>
      <c r="J42" s="100">
        <v>-0.60905537386577313</v>
      </c>
      <c r="K42" s="100">
        <v>0.29660951840430677</v>
      </c>
      <c r="L42" s="100">
        <v>0.19590657691750937</v>
      </c>
      <c r="M42" s="98">
        <v>-4719938547.5179367</v>
      </c>
      <c r="N42" s="100">
        <v>-0.60075633596814837</v>
      </c>
      <c r="O42" s="98">
        <v>-389044026.39802313</v>
      </c>
      <c r="P42" s="99">
        <v>0.88965687633196833</v>
      </c>
    </row>
    <row r="43" spans="2:16">
      <c r="B43" s="101" t="s">
        <v>175</v>
      </c>
      <c r="C43" s="73">
        <v>3715688023.2661452</v>
      </c>
      <c r="D43" s="73">
        <v>2290742662.0277972</v>
      </c>
      <c r="E43" s="73">
        <v>3741833247.5899997</v>
      </c>
      <c r="F43" s="73">
        <v>3188696046.4578447</v>
      </c>
      <c r="G43" s="73">
        <v>2112426126.3130479</v>
      </c>
      <c r="H43" s="73">
        <v>1716983359.45</v>
      </c>
      <c r="I43" s="103">
        <v>3.7078519279574291E-4</v>
      </c>
      <c r="J43" s="103">
        <v>-0.54113846186067849</v>
      </c>
      <c r="K43" s="103">
        <v>0.46209029086913117</v>
      </c>
      <c r="L43" s="103">
        <v>0.74953131484882829</v>
      </c>
      <c r="M43" s="73">
        <v>-1471712687.0078447</v>
      </c>
      <c r="N43" s="103">
        <v>-0.46154060015933263</v>
      </c>
      <c r="O43" s="73">
        <v>-395442766.86304784</v>
      </c>
      <c r="P43" s="102">
        <v>0.81280161140913398</v>
      </c>
    </row>
    <row r="44" spans="2:16">
      <c r="B44" s="104" t="s">
        <v>176</v>
      </c>
      <c r="C44" s="73">
        <v>3715688023.2661452</v>
      </c>
      <c r="D44" s="73">
        <v>2290742662.0277972</v>
      </c>
      <c r="E44" s="73">
        <v>3741833247.5899997</v>
      </c>
      <c r="F44" s="73">
        <v>3188696046.4578447</v>
      </c>
      <c r="G44" s="73">
        <v>2112426126.3130481</v>
      </c>
      <c r="H44" s="73">
        <v>1716983359.45</v>
      </c>
      <c r="I44" s="103">
        <v>3.7078519279574291E-4</v>
      </c>
      <c r="J44" s="103">
        <v>-0.54113846186067849</v>
      </c>
      <c r="K44" s="103">
        <v>0.46209029086913117</v>
      </c>
      <c r="L44" s="103">
        <v>0.74953131484882829</v>
      </c>
      <c r="M44" s="73">
        <v>-1471712687.0078447</v>
      </c>
      <c r="N44" s="103">
        <v>-0.46154060015933263</v>
      </c>
      <c r="O44" s="73">
        <v>-395442766.86304808</v>
      </c>
      <c r="P44" s="102">
        <v>0.81280161140913387</v>
      </c>
    </row>
    <row r="45" spans="2:16">
      <c r="B45" s="104" t="s">
        <v>177</v>
      </c>
      <c r="C45" s="73">
        <v>0</v>
      </c>
      <c r="D45" s="73">
        <v>0</v>
      </c>
      <c r="E45" s="73">
        <v>0</v>
      </c>
      <c r="F45" s="73">
        <v>0</v>
      </c>
      <c r="G45" s="73">
        <v>0</v>
      </c>
      <c r="H45" s="73">
        <v>0</v>
      </c>
      <c r="I45" s="103">
        <v>0</v>
      </c>
      <c r="J45" s="103">
        <v>0</v>
      </c>
      <c r="K45" s="103">
        <v>0</v>
      </c>
      <c r="L45" s="103">
        <v>0</v>
      </c>
      <c r="M45" s="73">
        <v>0</v>
      </c>
      <c r="N45" s="103">
        <v>0</v>
      </c>
      <c r="O45" s="73">
        <v>0</v>
      </c>
      <c r="P45" s="102">
        <v>0</v>
      </c>
    </row>
    <row r="46" spans="2:16">
      <c r="B46" s="101" t="s">
        <v>178</v>
      </c>
      <c r="C46" s="73">
        <v>6859569047.8314571</v>
      </c>
      <c r="D46" s="73">
        <v>13720572303.5784</v>
      </c>
      <c r="E46" s="73">
        <v>4281609708.7100005</v>
      </c>
      <c r="F46" s="73">
        <v>4667964407.9200916</v>
      </c>
      <c r="G46" s="73">
        <v>1413339806.9449749</v>
      </c>
      <c r="H46" s="73">
        <v>1419738547.4099996</v>
      </c>
      <c r="I46" s="103">
        <v>3.0659471923454853E-4</v>
      </c>
      <c r="J46" s="103">
        <v>-0.66841009713663269</v>
      </c>
      <c r="K46" s="103">
        <v>0.20697197411531665</v>
      </c>
      <c r="L46" s="103">
        <v>0.10347516969388544</v>
      </c>
      <c r="M46" s="73">
        <v>-3248225860.5100918</v>
      </c>
      <c r="N46" s="103">
        <v>-0.69585489019557589</v>
      </c>
      <c r="O46" s="73">
        <v>6398740.4650247097</v>
      </c>
      <c r="P46" s="102">
        <v>1.0045273899691936</v>
      </c>
    </row>
    <row r="47" spans="2:16">
      <c r="B47" s="104" t="s">
        <v>179</v>
      </c>
      <c r="C47" s="73">
        <v>4925600000</v>
      </c>
      <c r="D47" s="73">
        <v>10925600000</v>
      </c>
      <c r="E47" s="73">
        <v>3150000000</v>
      </c>
      <c r="F47" s="73">
        <v>3685600000</v>
      </c>
      <c r="G47" s="73">
        <v>0</v>
      </c>
      <c r="H47" s="73">
        <v>0</v>
      </c>
      <c r="I47" s="103">
        <v>0</v>
      </c>
      <c r="J47" s="103">
        <v>-1</v>
      </c>
      <c r="K47" s="103">
        <v>0</v>
      </c>
      <c r="L47" s="103">
        <v>0</v>
      </c>
      <c r="M47" s="73">
        <v>-3685600000</v>
      </c>
      <c r="N47" s="103">
        <v>-1</v>
      </c>
      <c r="O47" s="73">
        <v>0</v>
      </c>
      <c r="P47" s="102">
        <v>0</v>
      </c>
    </row>
    <row r="48" spans="2:16">
      <c r="B48" s="104" t="s">
        <v>180</v>
      </c>
      <c r="C48" s="73">
        <v>1933969047.8314574</v>
      </c>
      <c r="D48" s="73">
        <v>2794972303.5783997</v>
      </c>
      <c r="E48" s="73">
        <v>1131609708.71</v>
      </c>
      <c r="F48" s="73">
        <v>982364407.92009211</v>
      </c>
      <c r="G48" s="73">
        <v>1413339806.9449749</v>
      </c>
      <c r="H48" s="73">
        <v>1419738547.4099996</v>
      </c>
      <c r="I48" s="103">
        <v>3.0659471923454853E-4</v>
      </c>
      <c r="J48" s="103">
        <v>0.2546185636993672</v>
      </c>
      <c r="K48" s="103">
        <v>0.73410613732517593</v>
      </c>
      <c r="L48" s="103">
        <v>0.50796158001004521</v>
      </c>
      <c r="M48" s="73">
        <v>437374139.4899075</v>
      </c>
      <c r="N48" s="103">
        <v>0.44522596295598338</v>
      </c>
      <c r="O48" s="73">
        <v>6398740.4650247097</v>
      </c>
      <c r="P48" s="102">
        <v>1.0045273899691936</v>
      </c>
    </row>
    <row r="49" spans="2:16">
      <c r="B49" s="97" t="s">
        <v>181</v>
      </c>
      <c r="C49" s="98">
        <v>2390382.3874111222</v>
      </c>
      <c r="D49" s="98">
        <v>22731961938.128456</v>
      </c>
      <c r="E49" s="98">
        <v>1015000</v>
      </c>
      <c r="F49" s="98">
        <v>1115210.1826265319</v>
      </c>
      <c r="G49" s="98">
        <v>13650686765.923672</v>
      </c>
      <c r="H49" s="98">
        <v>12400958500</v>
      </c>
      <c r="I49" s="100">
        <v>2.6780060289852835E-3</v>
      </c>
      <c r="J49" s="100">
        <v>12216.693103448275</v>
      </c>
      <c r="K49" s="100">
        <v>5187.8555352939675</v>
      </c>
      <c r="L49" s="100">
        <v>0.54552961745021211</v>
      </c>
      <c r="M49" s="98">
        <v>12399843289.817373</v>
      </c>
      <c r="N49" s="100">
        <v>11118.839733523044</v>
      </c>
      <c r="O49" s="98">
        <v>-1249728265.9236717</v>
      </c>
      <c r="P49" s="99">
        <v>0.90844942182371513</v>
      </c>
    </row>
    <row r="50" spans="2:16">
      <c r="B50" s="101" t="s">
        <v>182</v>
      </c>
      <c r="C50" s="73">
        <v>2390382.3874111222</v>
      </c>
      <c r="D50" s="73">
        <v>1961938.1284566557</v>
      </c>
      <c r="E50" s="73">
        <v>1015000</v>
      </c>
      <c r="F50" s="73">
        <v>1115210.1826265319</v>
      </c>
      <c r="G50" s="73">
        <v>686765.92367206572</v>
      </c>
      <c r="H50" s="73">
        <v>958500</v>
      </c>
      <c r="I50" s="103">
        <v>2.0698954671789237E-7</v>
      </c>
      <c r="J50" s="103">
        <v>-5.5665024630541904E-2</v>
      </c>
      <c r="K50" s="103">
        <v>0.40098187011748071</v>
      </c>
      <c r="L50" s="103">
        <v>0.48854751640613514</v>
      </c>
      <c r="M50" s="73">
        <v>-156710.18262653193</v>
      </c>
      <c r="N50" s="103">
        <v>-0.14052076018302639</v>
      </c>
      <c r="O50" s="73">
        <v>271734.07632793428</v>
      </c>
      <c r="P50" s="102">
        <v>1.3956720433579473</v>
      </c>
    </row>
    <row r="51" spans="2:16">
      <c r="B51" s="101" t="s">
        <v>183</v>
      </c>
      <c r="C51" s="73">
        <v>0</v>
      </c>
      <c r="D51" s="73">
        <v>22730000000</v>
      </c>
      <c r="E51" s="73">
        <v>0</v>
      </c>
      <c r="F51" s="73">
        <v>0</v>
      </c>
      <c r="G51" s="73">
        <v>13650000000</v>
      </c>
      <c r="H51" s="73">
        <v>12400000000</v>
      </c>
      <c r="I51" s="103">
        <v>2.6777990394385659E-3</v>
      </c>
      <c r="J51" s="103">
        <v>0</v>
      </c>
      <c r="K51" s="103">
        <v>0</v>
      </c>
      <c r="L51" s="103">
        <v>0.54553453585569733</v>
      </c>
      <c r="M51" s="73">
        <v>12400000000</v>
      </c>
      <c r="N51" s="103">
        <v>0</v>
      </c>
      <c r="O51" s="73">
        <v>-1250000000</v>
      </c>
      <c r="P51" s="102">
        <v>0.90842490842490842</v>
      </c>
    </row>
    <row r="52" spans="2:16">
      <c r="B52" s="97" t="s">
        <v>184</v>
      </c>
      <c r="C52" s="98">
        <v>324237132.24302471</v>
      </c>
      <c r="D52" s="98">
        <v>214108798</v>
      </c>
      <c r="E52" s="98">
        <v>133779203.89999999</v>
      </c>
      <c r="F52" s="98">
        <v>150107758.4112184</v>
      </c>
      <c r="G52" s="98">
        <v>65737482.333801702</v>
      </c>
      <c r="H52" s="98">
        <v>43985506.659999996</v>
      </c>
      <c r="I52" s="100">
        <v>9.4987377002715013E-6</v>
      </c>
      <c r="J52" s="100">
        <v>-0.67120818948153427</v>
      </c>
      <c r="K52" s="100">
        <v>0.13565844959124435</v>
      </c>
      <c r="L52" s="100">
        <v>0.20543530606786573</v>
      </c>
      <c r="M52" s="98">
        <v>-106122251.75121841</v>
      </c>
      <c r="N52" s="100">
        <v>-0.70697379585469378</v>
      </c>
      <c r="O52" s="98">
        <v>-21751975.673801705</v>
      </c>
      <c r="P52" s="99">
        <v>0.66910847660168138</v>
      </c>
    </row>
    <row r="53" spans="2:16">
      <c r="B53" s="97" t="s">
        <v>185</v>
      </c>
      <c r="C53" s="98">
        <v>10266096926.140804</v>
      </c>
      <c r="D53" s="98">
        <v>11092799372.530804</v>
      </c>
      <c r="E53" s="98">
        <v>4402428365.9099989</v>
      </c>
      <c r="F53" s="98">
        <v>5030618486.7092886</v>
      </c>
      <c r="G53" s="98">
        <v>5823931374.8992882</v>
      </c>
      <c r="H53" s="98">
        <v>5613000739.4799995</v>
      </c>
      <c r="I53" s="100">
        <v>1.2121361281086694E-3</v>
      </c>
      <c r="J53" s="100">
        <v>0.27497832399591382</v>
      </c>
      <c r="K53" s="100">
        <v>0.54675119277195638</v>
      </c>
      <c r="L53" s="100">
        <v>0.50600398970340366</v>
      </c>
      <c r="M53" s="98">
        <v>582382252.77071095</v>
      </c>
      <c r="N53" s="100">
        <v>0.11576752526738887</v>
      </c>
      <c r="O53" s="98">
        <v>-210930635.41928864</v>
      </c>
      <c r="P53" s="99">
        <v>0.963782087761476</v>
      </c>
    </row>
    <row r="54" spans="2:16">
      <c r="B54" s="104" t="s">
        <v>186</v>
      </c>
      <c r="C54" s="73">
        <v>0</v>
      </c>
      <c r="D54" s="73">
        <v>0</v>
      </c>
      <c r="E54" s="73">
        <v>122292.33</v>
      </c>
      <c r="F54" s="73">
        <v>0</v>
      </c>
      <c r="G54" s="73">
        <v>0</v>
      </c>
      <c r="H54" s="73">
        <v>207948.82</v>
      </c>
      <c r="I54" s="103">
        <v>4.4906866971643806E-8</v>
      </c>
      <c r="J54" s="103">
        <v>0.70042405766575877</v>
      </c>
      <c r="K54" s="103">
        <v>0</v>
      </c>
      <c r="L54" s="103">
        <v>0</v>
      </c>
      <c r="M54" s="73">
        <v>207948.82</v>
      </c>
      <c r="N54" s="103">
        <v>0</v>
      </c>
      <c r="O54" s="73">
        <v>207948.82</v>
      </c>
      <c r="P54" s="102">
        <v>0</v>
      </c>
    </row>
    <row r="55" spans="2:16">
      <c r="B55" s="104" t="s">
        <v>187</v>
      </c>
      <c r="C55" s="73">
        <v>64279401.290803097</v>
      </c>
      <c r="D55" s="73">
        <v>57279401.290803105</v>
      </c>
      <c r="E55" s="73">
        <v>22330156.579999994</v>
      </c>
      <c r="F55" s="73">
        <v>25953286.089288477</v>
      </c>
      <c r="G55" s="73">
        <v>18953286.089288481</v>
      </c>
      <c r="H55" s="73">
        <v>28315608.740000002</v>
      </c>
      <c r="I55" s="103">
        <v>6.1147991842814732E-6</v>
      </c>
      <c r="J55" s="103">
        <v>0.26804344781714962</v>
      </c>
      <c r="K55" s="103">
        <v>0.44050828370194101</v>
      </c>
      <c r="L55" s="103">
        <v>0.49434191178507331</v>
      </c>
      <c r="M55" s="73">
        <v>2362322.6507115252</v>
      </c>
      <c r="N55" s="103">
        <v>9.1022101886608864E-2</v>
      </c>
      <c r="O55" s="73">
        <v>9362322.6507115215</v>
      </c>
      <c r="P55" s="102">
        <v>1.4939683074800771</v>
      </c>
    </row>
    <row r="56" spans="2:16">
      <c r="B56" s="104" t="s">
        <v>188</v>
      </c>
      <c r="C56" s="73">
        <v>0</v>
      </c>
      <c r="D56" s="73">
        <v>0</v>
      </c>
      <c r="E56" s="73">
        <v>0</v>
      </c>
      <c r="F56" s="73">
        <v>0</v>
      </c>
      <c r="G56" s="73">
        <v>0</v>
      </c>
      <c r="H56" s="73">
        <v>0</v>
      </c>
      <c r="I56" s="103">
        <v>0</v>
      </c>
      <c r="J56" s="103">
        <v>0</v>
      </c>
      <c r="K56" s="103">
        <v>0</v>
      </c>
      <c r="L56" s="103">
        <v>0</v>
      </c>
      <c r="M56" s="73">
        <v>0</v>
      </c>
      <c r="N56" s="103">
        <v>0</v>
      </c>
      <c r="O56" s="73">
        <v>0</v>
      </c>
      <c r="P56" s="102">
        <v>0</v>
      </c>
    </row>
    <row r="57" spans="2:16">
      <c r="B57" s="104" t="s">
        <v>189</v>
      </c>
      <c r="C57" s="73">
        <v>0</v>
      </c>
      <c r="D57" s="73">
        <v>0</v>
      </c>
      <c r="E57" s="73">
        <v>0</v>
      </c>
      <c r="F57" s="73">
        <v>0</v>
      </c>
      <c r="G57" s="73">
        <v>0</v>
      </c>
      <c r="H57" s="73">
        <v>0</v>
      </c>
      <c r="I57" s="103">
        <v>0</v>
      </c>
      <c r="J57" s="103">
        <v>0</v>
      </c>
      <c r="K57" s="103">
        <v>0</v>
      </c>
      <c r="L57" s="103">
        <v>0</v>
      </c>
      <c r="M57" s="73">
        <v>0</v>
      </c>
      <c r="N57" s="103">
        <v>0</v>
      </c>
      <c r="O57" s="73">
        <v>0</v>
      </c>
      <c r="P57" s="102">
        <v>0</v>
      </c>
    </row>
    <row r="58" spans="2:16">
      <c r="B58" s="104" t="s">
        <v>190</v>
      </c>
      <c r="C58" s="73">
        <v>10201817524.85</v>
      </c>
      <c r="D58" s="73">
        <v>9573087083.0500011</v>
      </c>
      <c r="E58" s="73">
        <v>4343447455.8399992</v>
      </c>
      <c r="F58" s="73">
        <v>5004665200.6199999</v>
      </c>
      <c r="G58" s="73">
        <v>4342545200.6199999</v>
      </c>
      <c r="H58" s="73">
        <v>4019430445.7400002</v>
      </c>
      <c r="I58" s="103">
        <v>8.6800217634618536E-4</v>
      </c>
      <c r="J58" s="103">
        <v>-7.4599039908803455E-2</v>
      </c>
      <c r="K58" s="103">
        <v>0.39399160354998597</v>
      </c>
      <c r="L58" s="103">
        <v>0.41986774076846728</v>
      </c>
      <c r="M58" s="73">
        <v>-985234754.87999964</v>
      </c>
      <c r="N58" s="103">
        <v>-0.19686326964647793</v>
      </c>
      <c r="O58" s="73">
        <v>-323114754.87999964</v>
      </c>
      <c r="P58" s="102">
        <v>0.92559323162972085</v>
      </c>
    </row>
    <row r="59" spans="2:16">
      <c r="B59" s="104" t="s">
        <v>191</v>
      </c>
      <c r="C59" s="73">
        <v>0</v>
      </c>
      <c r="D59" s="73">
        <v>1462432888.1899986</v>
      </c>
      <c r="E59" s="73">
        <v>36528461.159999847</v>
      </c>
      <c r="F59" s="73">
        <v>0</v>
      </c>
      <c r="G59" s="73">
        <v>1462432888.1899996</v>
      </c>
      <c r="H59" s="73">
        <v>1565046736.1799998</v>
      </c>
      <c r="I59" s="103">
        <v>3.3797424571123115E-4</v>
      </c>
      <c r="J59" s="103">
        <v>41.844584372850335</v>
      </c>
      <c r="K59" s="103">
        <v>0</v>
      </c>
      <c r="L59" s="103">
        <v>1.0701665346961684</v>
      </c>
      <c r="M59" s="73">
        <v>1565046736.1799998</v>
      </c>
      <c r="N59" s="103">
        <v>0</v>
      </c>
      <c r="O59" s="73">
        <v>102613847.99000025</v>
      </c>
      <c r="P59" s="102">
        <v>1.0701665346961677</v>
      </c>
    </row>
    <row r="60" spans="2:16">
      <c r="B60" s="105" t="s">
        <v>111</v>
      </c>
      <c r="C60" s="106">
        <v>10733570772.911501</v>
      </c>
      <c r="D60" s="106">
        <v>10896643275.406925</v>
      </c>
      <c r="E60" s="106">
        <v>134895784.69999999</v>
      </c>
      <c r="F60" s="106">
        <v>5369205000.4187222</v>
      </c>
      <c r="G60" s="106">
        <v>5172493680.7787218</v>
      </c>
      <c r="H60" s="106">
        <v>4938415337.9700003</v>
      </c>
      <c r="I60" s="108">
        <v>1.0664583748681248E-3</v>
      </c>
      <c r="J60" s="108">
        <v>35.609115317819125</v>
      </c>
      <c r="K60" s="108">
        <v>0.46009062989859489</v>
      </c>
      <c r="L60" s="108">
        <v>0.45320519476999943</v>
      </c>
      <c r="M60" s="106">
        <v>-430789662.44872189</v>
      </c>
      <c r="N60" s="108">
        <v>-8.0233416756321674E-2</v>
      </c>
      <c r="O60" s="106">
        <v>-234078342.80872154</v>
      </c>
      <c r="P60" s="107">
        <v>0.95474555267634842</v>
      </c>
    </row>
    <row r="61" spans="2:16">
      <c r="B61" s="109" t="s">
        <v>192</v>
      </c>
      <c r="C61" s="73">
        <v>21570772.911501121</v>
      </c>
      <c r="D61" s="73">
        <v>4518274.4069259204</v>
      </c>
      <c r="E61" s="73">
        <v>11468572.530000001</v>
      </c>
      <c r="F61" s="73">
        <v>13204997.41872168</v>
      </c>
      <c r="G61" s="73">
        <v>368676.77872167999</v>
      </c>
      <c r="H61" s="73">
        <v>11408777.59</v>
      </c>
      <c r="I61" s="103">
        <v>2.4637430380379219E-6</v>
      </c>
      <c r="J61" s="103">
        <v>-5.2138084180561872E-3</v>
      </c>
      <c r="K61" s="103">
        <v>0.52889980515798107</v>
      </c>
      <c r="L61" s="103">
        <v>2.5250298150355466</v>
      </c>
      <c r="M61" s="73">
        <v>-1796219.8287216797</v>
      </c>
      <c r="N61" s="103">
        <v>-0.13602576144203171</v>
      </c>
      <c r="O61" s="73">
        <v>11040100.811278319</v>
      </c>
      <c r="P61" s="102">
        <v>30.945202541797919</v>
      </c>
    </row>
    <row r="62" spans="2:16">
      <c r="B62" s="109" t="s">
        <v>193</v>
      </c>
      <c r="C62" s="73">
        <v>10712000000</v>
      </c>
      <c r="D62" s="73">
        <v>10892125000</v>
      </c>
      <c r="E62" s="73">
        <v>0</v>
      </c>
      <c r="F62" s="73">
        <v>5356000000</v>
      </c>
      <c r="G62" s="73">
        <v>5172125000</v>
      </c>
      <c r="H62" s="73">
        <v>4895188500</v>
      </c>
      <c r="I62" s="103">
        <v>1.0571234728363479E-3</v>
      </c>
      <c r="J62" s="103">
        <v>0</v>
      </c>
      <c r="K62" s="103">
        <v>0.45698174943988051</v>
      </c>
      <c r="L62" s="103">
        <v>0.44942456132297415</v>
      </c>
      <c r="M62" s="73">
        <v>-460811500</v>
      </c>
      <c r="N62" s="103">
        <v>-8.6036501120238973E-2</v>
      </c>
      <c r="O62" s="73">
        <v>-276936500</v>
      </c>
      <c r="P62" s="102">
        <v>0.94645595379075331</v>
      </c>
    </row>
    <row r="63" spans="2:16" ht="15.75" thickBot="1">
      <c r="B63" s="109" t="s">
        <v>194</v>
      </c>
      <c r="C63" s="73">
        <v>0</v>
      </c>
      <c r="D63" s="73">
        <v>0</v>
      </c>
      <c r="E63" s="73">
        <v>123427212.16999999</v>
      </c>
      <c r="F63" s="73">
        <v>0</v>
      </c>
      <c r="G63" s="73">
        <v>0</v>
      </c>
      <c r="H63" s="73">
        <v>31818060.379999999</v>
      </c>
      <c r="I63" s="103">
        <v>6.8711589937388941E-6</v>
      </c>
      <c r="J63" s="103">
        <v>-0.74221194969407533</v>
      </c>
      <c r="K63" s="103">
        <v>0</v>
      </c>
      <c r="L63" s="103">
        <v>0</v>
      </c>
      <c r="M63" s="73">
        <v>31818060.379999999</v>
      </c>
      <c r="N63" s="103">
        <v>0</v>
      </c>
      <c r="O63" s="73">
        <v>31818060.379999999</v>
      </c>
      <c r="P63" s="102">
        <v>0</v>
      </c>
    </row>
    <row r="64" spans="2:16" ht="15.75" thickBot="1">
      <c r="B64" s="75" t="s">
        <v>112</v>
      </c>
      <c r="C64" s="76">
        <v>747829089850.99133</v>
      </c>
      <c r="D64" s="76">
        <f>D60+D10</f>
        <v>670113523765.94861</v>
      </c>
      <c r="E64" s="76">
        <v>333060294679.12982</v>
      </c>
      <c r="F64" s="76">
        <v>377212214028.50043</v>
      </c>
      <c r="G64" s="76">
        <v>305697046927.30078</v>
      </c>
      <c r="H64" s="76">
        <v>284940642834.21997</v>
      </c>
      <c r="I64" s="83">
        <v>6.1533369328909814E-2</v>
      </c>
      <c r="J64" s="81">
        <v>-0.14447729919673646</v>
      </c>
      <c r="K64" s="84">
        <v>0.38102374820829155</v>
      </c>
      <c r="L64" s="81">
        <v>0.42521249419419971</v>
      </c>
      <c r="M64" s="76">
        <v>-92271571194.280457</v>
      </c>
      <c r="N64" s="81">
        <v>-0.24461448426828736</v>
      </c>
      <c r="O64" s="76">
        <v>-20756404093.080811</v>
      </c>
      <c r="P64" s="77">
        <v>0.93210139155182292</v>
      </c>
    </row>
    <row r="65" spans="2:16">
      <c r="B65" s="105" t="s">
        <v>113</v>
      </c>
      <c r="C65" s="106">
        <v>2994261325</v>
      </c>
      <c r="D65" s="106">
        <v>2994261324.9855289</v>
      </c>
      <c r="E65" s="106">
        <v>345407281.66999996</v>
      </c>
      <c r="F65" s="106">
        <v>1499436502.2980661</v>
      </c>
      <c r="G65" s="106">
        <v>1499436502.2980661</v>
      </c>
      <c r="H65" s="106">
        <v>490187450.84999996</v>
      </c>
      <c r="I65" s="108">
        <v>1.0585673266378783E-4</v>
      </c>
      <c r="J65" s="108">
        <v>0.41915783732180301</v>
      </c>
      <c r="K65" s="108">
        <v>0.16370897448304716</v>
      </c>
      <c r="L65" s="108">
        <v>0.16370897448383834</v>
      </c>
      <c r="M65" s="106">
        <v>-1009249051.4480662</v>
      </c>
      <c r="N65" s="108">
        <v>-0.67308555574128759</v>
      </c>
      <c r="O65" s="106">
        <v>-1009249051.4480662</v>
      </c>
      <c r="P65" s="107">
        <v>0.32691444425871247</v>
      </c>
    </row>
    <row r="66" spans="2:16">
      <c r="B66" s="110" t="s">
        <v>195</v>
      </c>
      <c r="C66" s="111">
        <v>1405867102</v>
      </c>
      <c r="D66" s="111">
        <v>1405867101.9919767</v>
      </c>
      <c r="E66" s="111">
        <v>111721526.64000002</v>
      </c>
      <c r="F66" s="111">
        <v>725851023.04729247</v>
      </c>
      <c r="G66" s="111">
        <v>725851023.04729247</v>
      </c>
      <c r="H66" s="111">
        <v>131889833</v>
      </c>
      <c r="I66" s="113">
        <v>2.8481811945089746E-5</v>
      </c>
      <c r="J66" s="113">
        <v>0.18052301079798405</v>
      </c>
      <c r="K66" s="113">
        <v>9.3813869612833431E-2</v>
      </c>
      <c r="L66" s="113">
        <v>9.3813869613368822E-2</v>
      </c>
      <c r="M66" s="111">
        <v>-593961190.04729247</v>
      </c>
      <c r="N66" s="113">
        <v>-0.81829627731831855</v>
      </c>
      <c r="O66" s="111">
        <v>-593961190.04729247</v>
      </c>
      <c r="P66" s="112">
        <v>0.18170372268168145</v>
      </c>
    </row>
    <row r="67" spans="2:16" ht="15.75" thickBot="1">
      <c r="B67" s="110" t="s">
        <v>196</v>
      </c>
      <c r="C67" s="111">
        <v>1588394223</v>
      </c>
      <c r="D67" s="111">
        <v>1588394222.9935524</v>
      </c>
      <c r="E67" s="111">
        <v>233685755.02999997</v>
      </c>
      <c r="F67" s="111">
        <v>773585479.25077367</v>
      </c>
      <c r="G67" s="111">
        <v>773585479.25077367</v>
      </c>
      <c r="H67" s="111">
        <v>358297617.84999996</v>
      </c>
      <c r="I67" s="113">
        <v>7.7374920718698082E-5</v>
      </c>
      <c r="J67" s="113">
        <v>0.53324543810555602</v>
      </c>
      <c r="K67" s="113">
        <v>0.22557222423869264</v>
      </c>
      <c r="L67" s="113">
        <v>0.22557222423960827</v>
      </c>
      <c r="M67" s="111">
        <v>-415287861.4007737</v>
      </c>
      <c r="N67" s="113">
        <v>-0.53683513010480066</v>
      </c>
      <c r="O67" s="111">
        <v>-415287861.4007737</v>
      </c>
      <c r="P67" s="112">
        <v>0.46316486989519928</v>
      </c>
    </row>
    <row r="68" spans="2:16" ht="15.75" thickBot="1">
      <c r="B68" s="75" t="s">
        <v>114</v>
      </c>
      <c r="C68" s="76">
        <v>750823351175.99133</v>
      </c>
      <c r="D68" s="76">
        <f>D64+D65</f>
        <v>673107785090.93408</v>
      </c>
      <c r="E68" s="76">
        <v>333405701960.7998</v>
      </c>
      <c r="F68" s="76">
        <v>378711650530.79852</v>
      </c>
      <c r="G68" s="76">
        <v>307196483429.59888</v>
      </c>
      <c r="H68" s="76">
        <v>285430830285.06995</v>
      </c>
      <c r="I68" s="83">
        <v>6.1639226061573599E-2</v>
      </c>
      <c r="J68" s="81">
        <v>-0.14389337492905419</v>
      </c>
      <c r="K68" s="84">
        <v>0.38015710331599101</v>
      </c>
      <c r="L68" s="81">
        <v>0.42404921857511091</v>
      </c>
      <c r="M68" s="76">
        <v>-93280820245.728577</v>
      </c>
      <c r="N68" s="81">
        <v>-0.24631093370110768</v>
      </c>
      <c r="O68" s="76">
        <v>-21765653144.528931</v>
      </c>
      <c r="P68" s="77">
        <v>0.92914745344239258</v>
      </c>
    </row>
    <row r="69" spans="2:16">
      <c r="B69" s="1" t="s">
        <v>133</v>
      </c>
    </row>
    <row r="70" spans="2:16">
      <c r="B70" s="1" t="s">
        <v>134</v>
      </c>
    </row>
    <row r="71" spans="2:16">
      <c r="B71" s="1" t="s">
        <v>135</v>
      </c>
    </row>
    <row r="72" spans="2:16">
      <c r="B72" s="1" t="s">
        <v>136</v>
      </c>
    </row>
    <row r="73" spans="2:16">
      <c r="B73" s="1" t="s">
        <v>137</v>
      </c>
    </row>
    <row r="74" spans="2:16">
      <c r="B74" s="1" t="s">
        <v>138</v>
      </c>
    </row>
    <row r="75" spans="2:16">
      <c r="B75" s="1" t="s">
        <v>139</v>
      </c>
    </row>
    <row r="76" spans="2:16">
      <c r="B76" s="1" t="s">
        <v>140</v>
      </c>
    </row>
  </sheetData>
  <mergeCells count="21">
    <mergeCell ref="K6:K8"/>
    <mergeCell ref="L6:L8"/>
    <mergeCell ref="M7:M8"/>
    <mergeCell ref="N7:N8"/>
    <mergeCell ref="O7:O8"/>
    <mergeCell ref="B2:O2"/>
    <mergeCell ref="B4:O4"/>
    <mergeCell ref="B3:O3"/>
    <mergeCell ref="B6:B9"/>
    <mergeCell ref="C6:C8"/>
    <mergeCell ref="D6:D8"/>
    <mergeCell ref="E6:I6"/>
    <mergeCell ref="M6:N6"/>
    <mergeCell ref="O6:P6"/>
    <mergeCell ref="E7:E8"/>
    <mergeCell ref="P7:P8"/>
    <mergeCell ref="F7:F8"/>
    <mergeCell ref="G7:G8"/>
    <mergeCell ref="H7:H8"/>
    <mergeCell ref="I7:I8"/>
    <mergeCell ref="J6:J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26"/>
  <sheetViews>
    <sheetView showGridLines="0" workbookViewId="0">
      <selection activeCell="G4" sqref="G4"/>
    </sheetView>
  </sheetViews>
  <sheetFormatPr baseColWidth="10" defaultColWidth="9.140625" defaultRowHeight="15"/>
  <sheetData>
    <row r="2" spans="2:21">
      <c r="B2" s="507" t="s">
        <v>197</v>
      </c>
      <c r="C2" s="507"/>
      <c r="D2" s="507"/>
      <c r="E2" s="507"/>
      <c r="F2" s="507"/>
      <c r="G2" s="507"/>
      <c r="H2" s="507"/>
      <c r="I2" s="507"/>
      <c r="J2" s="507"/>
      <c r="K2" s="507"/>
      <c r="L2" s="507"/>
      <c r="M2" s="507"/>
      <c r="N2" s="507"/>
      <c r="O2" s="507"/>
      <c r="P2" s="507"/>
      <c r="Q2" s="507"/>
      <c r="R2" s="507"/>
      <c r="S2" s="507"/>
      <c r="T2" s="507"/>
      <c r="U2" s="507"/>
    </row>
    <row r="3" spans="2:21">
      <c r="B3" s="507" t="s">
        <v>85</v>
      </c>
      <c r="C3" s="507"/>
      <c r="D3" s="507"/>
      <c r="E3" s="507"/>
      <c r="F3" s="507"/>
      <c r="G3" s="507"/>
      <c r="H3" s="507"/>
      <c r="I3" s="507"/>
      <c r="J3" s="507"/>
      <c r="K3" s="507"/>
      <c r="L3" s="507"/>
      <c r="M3" s="507"/>
      <c r="N3" s="507"/>
      <c r="O3" s="507"/>
      <c r="P3" s="507"/>
      <c r="Q3" s="507"/>
      <c r="R3" s="507"/>
      <c r="S3" s="507"/>
      <c r="T3" s="507"/>
      <c r="U3" s="507"/>
    </row>
    <row r="23" spans="2:2">
      <c r="B23" s="1" t="s">
        <v>133</v>
      </c>
    </row>
    <row r="24" spans="2:2">
      <c r="B24" s="1" t="s">
        <v>138</v>
      </c>
    </row>
    <row r="25" spans="2:2">
      <c r="B25" s="1" t="s">
        <v>139</v>
      </c>
    </row>
    <row r="26" spans="2:2">
      <c r="B26" s="1" t="s">
        <v>140</v>
      </c>
    </row>
  </sheetData>
  <mergeCells count="2">
    <mergeCell ref="B2:U2"/>
    <mergeCell ref="B3:U3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P33"/>
  <sheetViews>
    <sheetView showGridLines="0" zoomScaleNormal="100" workbookViewId="0">
      <selection activeCell="E23" sqref="E23"/>
    </sheetView>
  </sheetViews>
  <sheetFormatPr baseColWidth="10" defaultColWidth="11.42578125" defaultRowHeight="15"/>
  <cols>
    <col min="3" max="3" width="47.5703125" customWidth="1"/>
    <col min="4" max="4" width="20.140625" customWidth="1"/>
    <col min="5" max="5" width="20.42578125" customWidth="1"/>
    <col min="6" max="6" width="20.140625" customWidth="1"/>
    <col min="7" max="7" width="20.42578125" customWidth="1"/>
    <col min="8" max="8" width="20.140625" customWidth="1"/>
    <col min="9" max="9" width="20.42578125" customWidth="1"/>
    <col min="10" max="10" width="19.85546875" customWidth="1"/>
    <col min="11" max="11" width="12.5703125" bestFit="1" customWidth="1"/>
    <col min="12" max="12" width="7.140625" bestFit="1" customWidth="1"/>
    <col min="13" max="13" width="14.42578125" bestFit="1" customWidth="1"/>
    <col min="14" max="14" width="20.85546875" bestFit="1" customWidth="1"/>
    <col min="15" max="15" width="16.5703125" bestFit="1" customWidth="1"/>
    <col min="16" max="16" width="24.85546875" bestFit="1" customWidth="1"/>
    <col min="17" max="17" width="11.85546875" bestFit="1" customWidth="1"/>
    <col min="18" max="18" width="17" bestFit="1" customWidth="1"/>
  </cols>
  <sheetData>
    <row r="1" spans="3:16" ht="15.75" thickBot="1"/>
    <row r="2" spans="3:16" ht="15.75" thickBot="1">
      <c r="O2" s="188" t="s">
        <v>268</v>
      </c>
      <c r="P2" s="187">
        <v>4630668626500</v>
      </c>
    </row>
    <row r="4" spans="3:16" ht="15.75">
      <c r="C4" s="562" t="s">
        <v>267</v>
      </c>
      <c r="D4" s="562"/>
      <c r="E4" s="562"/>
      <c r="F4" s="562"/>
      <c r="G4" s="562"/>
      <c r="H4" s="562"/>
      <c r="I4" s="562"/>
      <c r="J4" s="562"/>
      <c r="K4" s="562"/>
      <c r="L4" s="562"/>
      <c r="M4" s="562"/>
      <c r="N4" s="562"/>
    </row>
    <row r="5" spans="3:16" ht="16.5" thickBot="1">
      <c r="C5" s="563" t="s">
        <v>266</v>
      </c>
      <c r="D5" s="563"/>
      <c r="E5" s="563"/>
      <c r="F5" s="563"/>
      <c r="G5" s="563"/>
      <c r="H5" s="563"/>
      <c r="I5" s="563"/>
      <c r="J5" s="563"/>
      <c r="K5" s="563"/>
      <c r="L5" s="563"/>
      <c r="M5" s="563"/>
      <c r="N5" s="563"/>
    </row>
    <row r="6" spans="3:16" ht="23.25" thickBot="1">
      <c r="C6" s="564" t="s">
        <v>100</v>
      </c>
      <c r="D6" s="564" t="s">
        <v>101</v>
      </c>
      <c r="E6" s="564" t="s">
        <v>102</v>
      </c>
      <c r="F6" s="558" t="s">
        <v>103</v>
      </c>
      <c r="G6" s="559"/>
      <c r="H6" s="559"/>
      <c r="I6" s="559"/>
      <c r="J6" s="559"/>
      <c r="K6" s="559" t="s">
        <v>103</v>
      </c>
      <c r="L6" s="561"/>
      <c r="M6" s="184" t="s">
        <v>265</v>
      </c>
      <c r="N6" s="183" t="s">
        <v>264</v>
      </c>
    </row>
    <row r="7" spans="3:16" ht="23.25" thickBot="1">
      <c r="C7" s="565"/>
      <c r="D7" s="566"/>
      <c r="E7" s="566"/>
      <c r="F7" s="186" t="s">
        <v>263</v>
      </c>
      <c r="G7" s="185" t="s">
        <v>262</v>
      </c>
      <c r="H7" s="185" t="s">
        <v>261</v>
      </c>
      <c r="I7" s="185" t="s">
        <v>260</v>
      </c>
      <c r="J7" s="185" t="s">
        <v>259</v>
      </c>
      <c r="K7" s="185" t="s">
        <v>258</v>
      </c>
      <c r="L7" s="185" t="s">
        <v>108</v>
      </c>
      <c r="M7" s="184" t="s">
        <v>257</v>
      </c>
      <c r="N7" s="183" t="s">
        <v>256</v>
      </c>
    </row>
    <row r="8" spans="3:16" ht="15.75" thickBot="1">
      <c r="C8" s="566"/>
      <c r="D8" s="181">
        <v>1</v>
      </c>
      <c r="E8" s="181">
        <v>2</v>
      </c>
      <c r="F8" s="182">
        <v>3</v>
      </c>
      <c r="G8" s="182">
        <v>4</v>
      </c>
      <c r="H8" s="182">
        <v>5</v>
      </c>
      <c r="I8" s="182">
        <v>6</v>
      </c>
      <c r="J8" s="182">
        <v>7</v>
      </c>
      <c r="K8" s="182" t="s">
        <v>255</v>
      </c>
      <c r="L8" s="182">
        <v>9</v>
      </c>
      <c r="M8" s="181" t="s">
        <v>254</v>
      </c>
      <c r="N8" s="180" t="s">
        <v>253</v>
      </c>
    </row>
    <row r="9" spans="3:16">
      <c r="C9" s="179" t="s">
        <v>252</v>
      </c>
      <c r="D9" s="178">
        <f t="shared" ref="D9:J9" si="0">D10+D11+D12+D13+D14+D15</f>
        <v>723274350010</v>
      </c>
      <c r="E9" s="178">
        <f>E10+E11+E12+E13+E14+E15</f>
        <v>776409870380.40991</v>
      </c>
      <c r="F9" s="178">
        <f t="shared" si="0"/>
        <v>305710929006.46027</v>
      </c>
      <c r="G9" s="178">
        <f t="shared" si="0"/>
        <v>352736096029.30005</v>
      </c>
      <c r="H9" s="178">
        <f t="shared" si="0"/>
        <v>408659741860.19012</v>
      </c>
      <c r="I9" s="178">
        <f t="shared" si="0"/>
        <v>345306274720.19006</v>
      </c>
      <c r="J9" s="178">
        <f t="shared" si="0"/>
        <v>307832018218.66998</v>
      </c>
      <c r="K9" s="177">
        <f>I9/E9</f>
        <v>0.44474740455193307</v>
      </c>
      <c r="L9" s="177">
        <f t="shared" ref="L9:L22" si="1">I9/P$2</f>
        <v>7.4569420222405994E-2</v>
      </c>
      <c r="M9" s="176">
        <f>(I9-F9)/F9</f>
        <v>0.12951890808225922</v>
      </c>
      <c r="N9" s="175">
        <f>IFERROR(I9/G9,"")</f>
        <v>0.97893660049893838</v>
      </c>
      <c r="P9" s="164"/>
    </row>
    <row r="10" spans="3:16">
      <c r="C10" s="161" t="s">
        <v>251</v>
      </c>
      <c r="D10" s="174">
        <v>318384236699</v>
      </c>
      <c r="E10" s="166">
        <f>330338037868.29+613</f>
        <v>330338038481.28998</v>
      </c>
      <c r="F10" s="166">
        <v>133580693506.36021</v>
      </c>
      <c r="G10" s="174">
        <v>167624443810.35004</v>
      </c>
      <c r="H10" s="166">
        <v>198990077706.45013</v>
      </c>
      <c r="I10" s="166">
        <v>146272052042.86008</v>
      </c>
      <c r="J10" s="166">
        <v>141113717620.80997</v>
      </c>
      <c r="K10" s="154">
        <f>+I10/E10</f>
        <v>0.44279506143263841</v>
      </c>
      <c r="L10" s="154">
        <f t="shared" si="1"/>
        <v>3.1587674230409556E-2</v>
      </c>
      <c r="M10" s="173">
        <f>+I10/F10 -1</f>
        <v>9.5008928336605569E-2</v>
      </c>
      <c r="N10" s="159">
        <f>IFERROR(I10/G10,"")</f>
        <v>0.87261767268473078</v>
      </c>
    </row>
    <row r="11" spans="3:16">
      <c r="C11" s="172" t="s">
        <v>588</v>
      </c>
      <c r="D11" s="166">
        <v>43349405367</v>
      </c>
      <c r="E11" s="166">
        <v>43148061367</v>
      </c>
      <c r="F11" s="166">
        <v>18182557823.690002</v>
      </c>
      <c r="G11" s="171"/>
      <c r="H11" s="166">
        <v>30407874330.500008</v>
      </c>
      <c r="I11" s="166">
        <v>20075026313.650002</v>
      </c>
      <c r="J11" s="166">
        <v>20060080929.360001</v>
      </c>
      <c r="K11" s="154">
        <f>+I11/E11</f>
        <v>0.46525905632004944</v>
      </c>
      <c r="L11" s="154">
        <f t="shared" si="1"/>
        <v>4.3352327564028948E-3</v>
      </c>
      <c r="M11" s="154">
        <f>+I11/F11 -1</f>
        <v>0.10408153287951083</v>
      </c>
      <c r="N11" s="159" t="str">
        <f>IFERROR(I11/G11,"")</f>
        <v/>
      </c>
    </row>
    <row r="12" spans="3:16">
      <c r="C12" s="161" t="s">
        <v>589</v>
      </c>
      <c r="D12" s="160">
        <v>149993489759</v>
      </c>
      <c r="E12" s="160">
        <v>162830851208</v>
      </c>
      <c r="F12" s="160">
        <v>70242548855.560013</v>
      </c>
      <c r="G12" s="160">
        <v>69782359378.380005</v>
      </c>
      <c r="H12" s="160">
        <v>75419574402.749985</v>
      </c>
      <c r="I12" s="160">
        <v>75268679098.039993</v>
      </c>
      <c r="J12" s="160">
        <v>43938790264.840004</v>
      </c>
      <c r="K12" s="154">
        <f>+I12/E12</f>
        <v>0.46225072545921808</v>
      </c>
      <c r="L12" s="154">
        <f t="shared" si="1"/>
        <v>1.6254386821656541E-2</v>
      </c>
      <c r="M12" s="154">
        <f>+I12/F12 -1</f>
        <v>7.1553927418198215E-2</v>
      </c>
      <c r="N12" s="159">
        <f>IFERROR(I12/G12,"")</f>
        <v>1.0786204388692504</v>
      </c>
    </row>
    <row r="13" spans="3:16">
      <c r="C13" s="161" t="s">
        <v>250</v>
      </c>
      <c r="D13" s="160"/>
      <c r="E13" s="160"/>
      <c r="F13" s="160"/>
      <c r="G13" s="160"/>
      <c r="H13" s="160">
        <v>111025432.25</v>
      </c>
      <c r="I13" s="160">
        <v>111025432.25</v>
      </c>
      <c r="J13" s="160">
        <v>111025432.25000001</v>
      </c>
      <c r="K13" s="154"/>
      <c r="L13" s="154">
        <f t="shared" si="1"/>
        <v>2.397611256712109E-5</v>
      </c>
      <c r="M13" s="154"/>
      <c r="N13" s="159"/>
    </row>
    <row r="14" spans="3:16">
      <c r="C14" s="161" t="s">
        <v>249</v>
      </c>
      <c r="D14" s="166">
        <v>211443063307</v>
      </c>
      <c r="E14" s="166">
        <v>239764764446.12</v>
      </c>
      <c r="F14" s="166">
        <v>83648573692.900055</v>
      </c>
      <c r="G14" s="166">
        <v>115329292840.56998</v>
      </c>
      <c r="H14" s="166">
        <v>103575342469.69998</v>
      </c>
      <c r="I14" s="166">
        <v>103423644314.85004</v>
      </c>
      <c r="J14" s="166">
        <v>102452556452.87003</v>
      </c>
      <c r="K14" s="154">
        <f t="shared" ref="K14:K23" si="2">+I14/E14</f>
        <v>0.4313546427631631</v>
      </c>
      <c r="L14" s="154">
        <f t="shared" si="1"/>
        <v>2.2334494790446874E-2</v>
      </c>
      <c r="M14" s="154">
        <f t="shared" ref="M14:M21" si="3">+I14/F14 -1</f>
        <v>0.23640654883788481</v>
      </c>
      <c r="N14" s="159">
        <f t="shared" ref="N14:N21" si="4">IFERROR(I14/G14,"")</f>
        <v>0.89676821705498366</v>
      </c>
    </row>
    <row r="15" spans="3:16">
      <c r="C15" s="161" t="s">
        <v>248</v>
      </c>
      <c r="D15" s="166">
        <v>104154878</v>
      </c>
      <c r="E15" s="166">
        <v>328154878</v>
      </c>
      <c r="F15" s="166">
        <v>56555127.949999988</v>
      </c>
      <c r="G15" s="171"/>
      <c r="H15" s="166">
        <v>155847518.53999999</v>
      </c>
      <c r="I15" s="166">
        <v>155847518.53999999</v>
      </c>
      <c r="J15" s="166">
        <v>155847518.53999999</v>
      </c>
      <c r="K15" s="154">
        <f t="shared" si="2"/>
        <v>0.47492062129272994</v>
      </c>
      <c r="L15" s="154">
        <f t="shared" si="1"/>
        <v>3.3655510923007741E-5</v>
      </c>
      <c r="M15" s="154">
        <f t="shared" si="3"/>
        <v>1.7556744045877455</v>
      </c>
      <c r="N15" s="159" t="str">
        <f t="shared" si="4"/>
        <v/>
      </c>
    </row>
    <row r="16" spans="3:16">
      <c r="C16" s="170" t="s">
        <v>247</v>
      </c>
      <c r="D16" s="169">
        <f t="shared" ref="D16:J16" si="5">D17+D18+D19+D20+D21+D22</f>
        <v>137800022933</v>
      </c>
      <c r="E16" s="169">
        <f t="shared" si="5"/>
        <v>130292999999.58</v>
      </c>
      <c r="F16" s="169">
        <f t="shared" si="5"/>
        <v>48482462267.23999</v>
      </c>
      <c r="G16" s="169">
        <f t="shared" si="5"/>
        <v>72891754602.800003</v>
      </c>
      <c r="H16" s="169">
        <f t="shared" si="5"/>
        <v>60200629545.990013</v>
      </c>
      <c r="I16" s="169">
        <f t="shared" si="5"/>
        <v>57036503806.849976</v>
      </c>
      <c r="J16" s="169">
        <f t="shared" si="5"/>
        <v>49538763452.000031</v>
      </c>
      <c r="K16" s="168">
        <f t="shared" si="2"/>
        <v>0.43775570296972077</v>
      </c>
      <c r="L16" s="168">
        <f t="shared" si="1"/>
        <v>1.2317120573138463E-2</v>
      </c>
      <c r="M16" s="168">
        <f t="shared" si="3"/>
        <v>0.17643579017210986</v>
      </c>
      <c r="N16" s="167">
        <f t="shared" si="4"/>
        <v>0.78248224531913002</v>
      </c>
      <c r="P16" s="164"/>
    </row>
    <row r="17" spans="3:16">
      <c r="C17" s="161" t="s">
        <v>246</v>
      </c>
      <c r="D17" s="166">
        <v>31476504450</v>
      </c>
      <c r="E17" s="166">
        <v>31836670208</v>
      </c>
      <c r="F17" s="166">
        <v>10766496753.519995</v>
      </c>
      <c r="G17" s="166">
        <f>19121591128.89+3000000000</f>
        <v>22121591128.889999</v>
      </c>
      <c r="H17" s="166">
        <v>12528727122.250008</v>
      </c>
      <c r="I17" s="166">
        <v>11220851438.869991</v>
      </c>
      <c r="J17" s="166">
        <v>9687113480.970005</v>
      </c>
      <c r="K17" s="165">
        <f t="shared" si="2"/>
        <v>0.35245053473118515</v>
      </c>
      <c r="L17" s="154">
        <f t="shared" si="1"/>
        <v>2.423160097152331E-3</v>
      </c>
      <c r="M17" s="154">
        <f t="shared" si="3"/>
        <v>4.2200791562162498E-2</v>
      </c>
      <c r="N17" s="159">
        <f t="shared" si="4"/>
        <v>0.50723527857885253</v>
      </c>
      <c r="P17" s="164"/>
    </row>
    <row r="18" spans="3:16">
      <c r="C18" s="161" t="s">
        <v>245</v>
      </c>
      <c r="D18" s="160">
        <v>57712548920</v>
      </c>
      <c r="E18" s="160">
        <v>55674997295</v>
      </c>
      <c r="F18" s="160">
        <v>19856654750.069992</v>
      </c>
      <c r="G18" s="160">
        <v>25815281000.639999</v>
      </c>
      <c r="H18" s="160">
        <v>28289071011.139999</v>
      </c>
      <c r="I18" s="160">
        <v>26504198450.569996</v>
      </c>
      <c r="J18" s="160">
        <v>22752056679.13002</v>
      </c>
      <c r="K18" s="163">
        <f t="shared" si="2"/>
        <v>0.47605208331011911</v>
      </c>
      <c r="L18" s="154">
        <f t="shared" si="1"/>
        <v>5.7236223509697934E-3</v>
      </c>
      <c r="M18" s="154">
        <f t="shared" si="3"/>
        <v>0.33477661691612837</v>
      </c>
      <c r="N18" s="159">
        <f t="shared" si="4"/>
        <v>1.0266864207254967</v>
      </c>
    </row>
    <row r="19" spans="3:16">
      <c r="C19" s="161" t="s">
        <v>244</v>
      </c>
      <c r="D19" s="160">
        <v>8531501</v>
      </c>
      <c r="E19" s="160">
        <v>8531501</v>
      </c>
      <c r="F19" s="160">
        <v>931020</v>
      </c>
      <c r="G19" s="162"/>
      <c r="H19" s="160">
        <v>905790</v>
      </c>
      <c r="I19" s="160">
        <v>905790</v>
      </c>
      <c r="J19" s="160">
        <v>905790</v>
      </c>
      <c r="K19" s="155">
        <f t="shared" si="2"/>
        <v>0.10617006315770226</v>
      </c>
      <c r="L19" s="154">
        <f t="shared" si="1"/>
        <v>1.9560674128492404E-7</v>
      </c>
      <c r="M19" s="154">
        <f t="shared" si="3"/>
        <v>-2.7099310433717827E-2</v>
      </c>
      <c r="N19" s="159" t="str">
        <f t="shared" si="4"/>
        <v/>
      </c>
    </row>
    <row r="20" spans="3:16">
      <c r="C20" s="161" t="s">
        <v>243</v>
      </c>
      <c r="D20" s="160">
        <v>3208884224</v>
      </c>
      <c r="E20" s="160">
        <v>3140133936</v>
      </c>
      <c r="F20" s="160">
        <v>979096329.79999995</v>
      </c>
      <c r="G20" s="162"/>
      <c r="H20" s="160">
        <v>1017048217.7600001</v>
      </c>
      <c r="I20" s="160">
        <v>945670722.81000006</v>
      </c>
      <c r="J20" s="160">
        <v>821029122.25999999</v>
      </c>
      <c r="K20" s="155">
        <f t="shared" si="2"/>
        <v>0.30115617425370866</v>
      </c>
      <c r="L20" s="154">
        <f t="shared" si="1"/>
        <v>2.0421904461014449E-4</v>
      </c>
      <c r="M20" s="154">
        <f t="shared" si="3"/>
        <v>-3.4139242455160423E-2</v>
      </c>
      <c r="N20" s="159" t="str">
        <f t="shared" si="4"/>
        <v/>
      </c>
    </row>
    <row r="21" spans="3:16">
      <c r="C21" s="161" t="s">
        <v>242</v>
      </c>
      <c r="D21" s="160">
        <v>43947269563</v>
      </c>
      <c r="E21" s="160">
        <v>38186382784.580002</v>
      </c>
      <c r="F21" s="160">
        <v>16879283413.849998</v>
      </c>
      <c r="G21" s="160">
        <v>24231740335.77</v>
      </c>
      <c r="H21" s="160">
        <v>18364877404.840004</v>
      </c>
      <c r="I21" s="160">
        <v>18364877404.599995</v>
      </c>
      <c r="J21" s="160">
        <v>16277658379.640005</v>
      </c>
      <c r="K21" s="155">
        <f t="shared" si="2"/>
        <v>0.48092738995995959</v>
      </c>
      <c r="L21" s="154">
        <f t="shared" si="1"/>
        <v>3.965923473664909E-3</v>
      </c>
      <c r="M21" s="154">
        <f t="shared" si="3"/>
        <v>8.8012858977829511E-2</v>
      </c>
      <c r="N21" s="159">
        <f t="shared" si="4"/>
        <v>0.7578852013980375</v>
      </c>
    </row>
    <row r="22" spans="3:16" ht="15.75" thickBot="1">
      <c r="C22" s="158" t="s">
        <v>241</v>
      </c>
      <c r="D22" s="157">
        <v>1446284275</v>
      </c>
      <c r="E22" s="157">
        <v>1446284275</v>
      </c>
      <c r="F22" s="156"/>
      <c r="G22" s="157">
        <v>723142137.5</v>
      </c>
      <c r="H22" s="156">
        <v>0</v>
      </c>
      <c r="I22" s="156">
        <v>0</v>
      </c>
      <c r="J22" s="156">
        <v>0</v>
      </c>
      <c r="K22" s="155">
        <f t="shared" si="2"/>
        <v>0</v>
      </c>
      <c r="L22" s="154">
        <f t="shared" si="1"/>
        <v>0</v>
      </c>
      <c r="M22" s="153"/>
      <c r="N22" s="152"/>
    </row>
    <row r="23" spans="3:16">
      <c r="C23" s="151" t="s">
        <v>240</v>
      </c>
      <c r="D23" s="150">
        <f t="shared" ref="D23:J23" si="6">D9+D16</f>
        <v>861074372943</v>
      </c>
      <c r="E23" s="150">
        <f t="shared" si="6"/>
        <v>906702870379.98987</v>
      </c>
      <c r="F23" s="150">
        <f t="shared" si="6"/>
        <v>354193391273.70026</v>
      </c>
      <c r="G23" s="150">
        <f t="shared" si="6"/>
        <v>425627850632.10004</v>
      </c>
      <c r="H23" s="150">
        <f t="shared" si="6"/>
        <v>468860371406.18011</v>
      </c>
      <c r="I23" s="150">
        <f t="shared" si="6"/>
        <v>402342778527.04004</v>
      </c>
      <c r="J23" s="150">
        <f t="shared" si="6"/>
        <v>357370781670.67004</v>
      </c>
      <c r="K23" s="149">
        <f t="shared" si="2"/>
        <v>0.44374269859587223</v>
      </c>
      <c r="L23" s="147">
        <f>I23/P2</f>
        <v>8.6886540795544448E-2</v>
      </c>
      <c r="M23" s="148">
        <f>+I23/F23 -1</f>
        <v>0.13594095327468358</v>
      </c>
      <c r="N23" s="147">
        <f>IFERROR(I23/G23,"")</f>
        <v>0.94529241432279554</v>
      </c>
    </row>
    <row r="24" spans="3:16">
      <c r="C24" s="145" t="s">
        <v>239</v>
      </c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</row>
    <row r="25" spans="3:16">
      <c r="C25" s="560" t="s">
        <v>238</v>
      </c>
      <c r="D25" s="560"/>
      <c r="E25" s="560"/>
      <c r="F25" s="560"/>
      <c r="G25" s="560"/>
      <c r="H25" s="560"/>
      <c r="I25" s="560"/>
      <c r="J25" s="560"/>
      <c r="K25" s="560"/>
      <c r="L25" s="560"/>
      <c r="M25" s="560"/>
      <c r="N25" s="560"/>
    </row>
    <row r="26" spans="3:16">
      <c r="C26" s="560"/>
      <c r="D26" s="560"/>
      <c r="E26" s="560"/>
      <c r="F26" s="560"/>
      <c r="G26" s="560"/>
      <c r="H26" s="560"/>
      <c r="I26" s="560"/>
      <c r="J26" s="560"/>
      <c r="K26" s="560"/>
      <c r="L26" s="560"/>
      <c r="M26" s="560"/>
      <c r="N26" s="560"/>
    </row>
    <row r="27" spans="3:16">
      <c r="C27" s="145" t="s">
        <v>237</v>
      </c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</row>
    <row r="28" spans="3:16">
      <c r="C28" s="146" t="s">
        <v>236</v>
      </c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</row>
    <row r="29" spans="3:16">
      <c r="C29" s="145" t="s">
        <v>235</v>
      </c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</row>
    <row r="30" spans="3:16" ht="15.75" customHeight="1">
      <c r="C30" s="145" t="s">
        <v>138</v>
      </c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</row>
    <row r="31" spans="3:16" ht="36.75" customHeight="1">
      <c r="C31" s="145" t="s">
        <v>234</v>
      </c>
      <c r="D31" s="145"/>
      <c r="E31" s="145"/>
      <c r="F31" s="145"/>
      <c r="G31" s="145"/>
      <c r="H31" s="145"/>
      <c r="I31" s="144"/>
      <c r="J31" s="144"/>
      <c r="K31" s="144"/>
      <c r="L31" s="144"/>
      <c r="M31" s="144"/>
      <c r="N31" s="144"/>
    </row>
    <row r="32" spans="3:16">
      <c r="C32" s="143" t="s">
        <v>140</v>
      </c>
      <c r="D32" s="143"/>
      <c r="E32" s="143"/>
      <c r="F32" s="143"/>
      <c r="G32" s="143"/>
      <c r="H32" s="143"/>
    </row>
    <row r="33" spans="5:5">
      <c r="E33" s="142"/>
    </row>
  </sheetData>
  <mergeCells count="8">
    <mergeCell ref="F6:J6"/>
    <mergeCell ref="C25:N26"/>
    <mergeCell ref="K6:L6"/>
    <mergeCell ref="C4:N4"/>
    <mergeCell ref="C5:N5"/>
    <mergeCell ref="C6:C8"/>
    <mergeCell ref="D6:D7"/>
    <mergeCell ref="E6:E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38"/>
  <sheetViews>
    <sheetView showGridLines="0" workbookViewId="0">
      <selection activeCell="O34" activeCellId="1" sqref="P17 O34:O35"/>
    </sheetView>
  </sheetViews>
  <sheetFormatPr baseColWidth="10" defaultColWidth="9.140625" defaultRowHeight="15"/>
  <cols>
    <col min="3" max="3" width="128.85546875" customWidth="1"/>
    <col min="4" max="5" width="21.140625" customWidth="1"/>
  </cols>
  <sheetData>
    <row r="2" spans="3:7" ht="21">
      <c r="C2" s="567" t="s">
        <v>347</v>
      </c>
      <c r="D2" s="567"/>
      <c r="E2" s="567"/>
    </row>
    <row r="3" spans="3:7" ht="21">
      <c r="C3" s="567" t="s">
        <v>212</v>
      </c>
      <c r="D3" s="567"/>
      <c r="E3" s="567"/>
    </row>
    <row r="4" spans="3:7" ht="21">
      <c r="C4" s="568" t="s">
        <v>346</v>
      </c>
      <c r="D4" s="568"/>
      <c r="E4" s="568"/>
    </row>
    <row r="5" spans="3:7" ht="56.25">
      <c r="C5" s="218" t="s">
        <v>100</v>
      </c>
      <c r="D5" s="218" t="s">
        <v>101</v>
      </c>
      <c r="E5" s="218" t="s">
        <v>320</v>
      </c>
    </row>
    <row r="6" spans="3:7" ht="18.75">
      <c r="C6" s="217" t="s">
        <v>345</v>
      </c>
      <c r="D6" s="216"/>
      <c r="E6" s="216"/>
    </row>
    <row r="7" spans="3:7" ht="18.75">
      <c r="C7" s="214" t="s">
        <v>277</v>
      </c>
      <c r="D7" s="213">
        <v>28888333916</v>
      </c>
      <c r="E7" s="213">
        <v>11638151039.49</v>
      </c>
    </row>
    <row r="8" spans="3:7" ht="18.75">
      <c r="C8" s="211" t="s">
        <v>344</v>
      </c>
      <c r="D8" s="210">
        <v>4200000000</v>
      </c>
      <c r="E8" s="210">
        <v>4200000000</v>
      </c>
    </row>
    <row r="9" spans="3:7" ht="18.75">
      <c r="C9" s="211" t="s">
        <v>343</v>
      </c>
      <c r="D9" s="210">
        <v>3500000000</v>
      </c>
      <c r="E9" s="210">
        <v>2533986096.9500003</v>
      </c>
    </row>
    <row r="10" spans="3:7" ht="18.75">
      <c r="C10" s="211" t="s">
        <v>342</v>
      </c>
      <c r="D10" s="210">
        <v>884166280</v>
      </c>
      <c r="E10" s="210">
        <v>871278233.42000008</v>
      </c>
    </row>
    <row r="11" spans="3:7" ht="18.75">
      <c r="C11" s="211" t="s">
        <v>341</v>
      </c>
      <c r="D11" s="210">
        <v>600000000</v>
      </c>
      <c r="E11" s="210">
        <v>599999999.76999998</v>
      </c>
    </row>
    <row r="12" spans="3:7" ht="18.75">
      <c r="C12" s="211" t="s">
        <v>340</v>
      </c>
      <c r="D12" s="210">
        <v>817350816</v>
      </c>
      <c r="E12" s="210">
        <v>495759687.92000002</v>
      </c>
    </row>
    <row r="13" spans="3:7" ht="18.75">
      <c r="C13" s="211" t="s">
        <v>327</v>
      </c>
      <c r="D13" s="210">
        <f>+D7-SUM(D8:D12)</f>
        <v>18886816820</v>
      </c>
      <c r="E13" s="210">
        <f>+E7-SUM(E8:E12)</f>
        <v>2937127021.4299984</v>
      </c>
    </row>
    <row r="14" spans="3:7" ht="18.75">
      <c r="C14" s="214" t="s">
        <v>316</v>
      </c>
      <c r="D14" s="213">
        <v>6312086072</v>
      </c>
      <c r="E14" s="213">
        <v>2013983486.46</v>
      </c>
      <c r="G14" s="193"/>
    </row>
    <row r="15" spans="3:7" ht="18.75">
      <c r="C15" s="211" t="s">
        <v>339</v>
      </c>
      <c r="D15" s="210"/>
      <c r="E15" s="210">
        <v>399743311.81999999</v>
      </c>
    </row>
    <row r="16" spans="3:7" ht="18.75">
      <c r="C16" s="211" t="s">
        <v>338</v>
      </c>
      <c r="D16" s="210">
        <v>412204316</v>
      </c>
      <c r="E16" s="210">
        <v>348288827.19999999</v>
      </c>
    </row>
    <row r="17" spans="3:7" ht="18.75">
      <c r="C17" s="211" t="s">
        <v>337</v>
      </c>
      <c r="D17" s="210">
        <v>2144000000</v>
      </c>
      <c r="E17" s="210">
        <v>331402125.95999998</v>
      </c>
    </row>
    <row r="18" spans="3:7" ht="18.75">
      <c r="C18" s="211" t="s">
        <v>327</v>
      </c>
      <c r="D18" s="210">
        <f>+D14-SUM(D15:D17)</f>
        <v>3755881756</v>
      </c>
      <c r="E18" s="210">
        <f>+E14-SUM(E15:E17)</f>
        <v>934549221.48000002</v>
      </c>
    </row>
    <row r="19" spans="3:7" ht="18.75">
      <c r="C19" s="214" t="s">
        <v>308</v>
      </c>
      <c r="D19" s="213">
        <v>3326402517</v>
      </c>
      <c r="E19" s="213">
        <v>1827202382.9699998</v>
      </c>
      <c r="G19" s="193"/>
    </row>
    <row r="20" spans="3:7" ht="18.75">
      <c r="C20" s="211" t="s">
        <v>336</v>
      </c>
      <c r="D20" s="215">
        <v>906160707</v>
      </c>
      <c r="E20" s="215">
        <v>599376426.76999998</v>
      </c>
    </row>
    <row r="21" spans="3:7" ht="18.75">
      <c r="C21" s="211" t="s">
        <v>335</v>
      </c>
      <c r="D21" s="215">
        <v>500000000</v>
      </c>
      <c r="E21" s="215">
        <v>394736454.99000001</v>
      </c>
    </row>
    <row r="22" spans="3:7" ht="18.75">
      <c r="C22" s="211" t="s">
        <v>334</v>
      </c>
      <c r="D22" s="215">
        <v>200000000</v>
      </c>
      <c r="E22" s="215">
        <v>132943059.81</v>
      </c>
    </row>
    <row r="23" spans="3:7" ht="18.75">
      <c r="C23" s="211" t="s">
        <v>327</v>
      </c>
      <c r="D23" s="210">
        <f>+D19-SUM(D20:D22)</f>
        <v>1720241810</v>
      </c>
      <c r="E23" s="210">
        <f>+E19-SUM(E20:E22)</f>
        <v>700146441.39999986</v>
      </c>
    </row>
    <row r="24" spans="3:7" ht="18.75">
      <c r="C24" s="214" t="s">
        <v>293</v>
      </c>
      <c r="D24" s="213">
        <v>4132328948</v>
      </c>
      <c r="E24" s="213">
        <v>1613988966.9699996</v>
      </c>
      <c r="G24" s="193"/>
    </row>
    <row r="25" spans="3:7" ht="18.75">
      <c r="C25" s="211" t="s">
        <v>333</v>
      </c>
      <c r="D25" s="210">
        <v>1061823337</v>
      </c>
      <c r="E25" s="210">
        <v>367179999.00999975</v>
      </c>
    </row>
    <row r="26" spans="3:7" ht="18.75">
      <c r="C26" s="211" t="s">
        <v>332</v>
      </c>
      <c r="D26" s="210">
        <v>230049589</v>
      </c>
      <c r="E26" s="210">
        <v>230000000</v>
      </c>
    </row>
    <row r="27" spans="3:7" ht="18.75">
      <c r="C27" s="211" t="s">
        <v>331</v>
      </c>
      <c r="D27" s="210">
        <v>100000000</v>
      </c>
      <c r="E27" s="210">
        <v>95000000</v>
      </c>
    </row>
    <row r="28" spans="3:7" ht="18.75">
      <c r="C28" s="211" t="s">
        <v>327</v>
      </c>
      <c r="D28" s="210">
        <f>+D24-SUM(D25:D27)</f>
        <v>2740456022</v>
      </c>
      <c r="E28" s="210">
        <f>+E24-SUM(E25:E27)</f>
        <v>921808967.9599998</v>
      </c>
    </row>
    <row r="29" spans="3:7" ht="18.75">
      <c r="C29" s="214" t="s">
        <v>298</v>
      </c>
      <c r="D29" s="213">
        <v>5914261086</v>
      </c>
      <c r="E29" s="213">
        <v>1516172281.5399997</v>
      </c>
      <c r="G29" s="193"/>
    </row>
    <row r="30" spans="3:7" ht="18.75">
      <c r="C30" s="211" t="s">
        <v>330</v>
      </c>
      <c r="D30" s="210">
        <v>500000000</v>
      </c>
      <c r="E30" s="210">
        <v>387291453.59000003</v>
      </c>
    </row>
    <row r="31" spans="3:7" ht="18.75">
      <c r="C31" s="211" t="s">
        <v>329</v>
      </c>
      <c r="D31" s="210">
        <v>684106507</v>
      </c>
      <c r="E31" s="210">
        <v>257850496.95999998</v>
      </c>
    </row>
    <row r="32" spans="3:7" ht="18.75">
      <c r="C32" s="212" t="s">
        <v>328</v>
      </c>
      <c r="D32" s="210">
        <v>300000000</v>
      </c>
      <c r="E32" s="210">
        <v>180871955.56999999</v>
      </c>
    </row>
    <row r="33" spans="3:5" ht="18.75">
      <c r="C33" s="211" t="s">
        <v>327</v>
      </c>
      <c r="D33" s="210">
        <f>+D29-SUM(D30:D32)</f>
        <v>4430154579</v>
      </c>
      <c r="E33" s="210">
        <f>+E29-SUM(E30:E32)</f>
        <v>690158375.41999984</v>
      </c>
    </row>
    <row r="34" spans="3:5" ht="18.75">
      <c r="C34" s="209" t="s">
        <v>326</v>
      </c>
      <c r="D34" s="208">
        <f>+D35-D7-D14-D29-D24-D19</f>
        <v>16200915876</v>
      </c>
      <c r="E34" s="208">
        <f>+E35-E7-E14-E29-E24-E19</f>
        <v>4863346585.1300125</v>
      </c>
    </row>
    <row r="35" spans="3:5" ht="18.75">
      <c r="C35" s="207" t="s">
        <v>325</v>
      </c>
      <c r="D35" s="206">
        <v>64774328415</v>
      </c>
      <c r="E35" s="206">
        <v>23472844742.560013</v>
      </c>
    </row>
    <row r="36" spans="3:5" ht="18.75">
      <c r="C36" s="204" t="s">
        <v>324</v>
      </c>
      <c r="D36" s="205"/>
      <c r="E36" s="205"/>
    </row>
    <row r="37" spans="3:5" ht="18.75">
      <c r="C37" s="204" t="s">
        <v>237</v>
      </c>
    </row>
    <row r="38" spans="3:5" ht="18.75">
      <c r="C38" s="204" t="s">
        <v>270</v>
      </c>
    </row>
  </sheetData>
  <mergeCells count="3">
    <mergeCell ref="C2:E2"/>
    <mergeCell ref="C3:E3"/>
    <mergeCell ref="C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4"/>
  <sheetViews>
    <sheetView showGridLines="0" workbookViewId="0">
      <selection activeCell="N4" sqref="N4"/>
    </sheetView>
  </sheetViews>
  <sheetFormatPr baseColWidth="10" defaultColWidth="9.140625" defaultRowHeight="15"/>
  <sheetData>
    <row r="2" spans="2:12" ht="31.5" customHeight="1">
      <c r="B2" s="506" t="s">
        <v>0</v>
      </c>
      <c r="C2" s="506"/>
      <c r="D2" s="506"/>
      <c r="E2" s="506"/>
      <c r="F2" s="506"/>
      <c r="G2" s="506"/>
      <c r="H2" s="506"/>
      <c r="I2" s="506"/>
      <c r="J2" s="506"/>
      <c r="K2" s="506"/>
      <c r="L2" s="506"/>
    </row>
    <row r="3" spans="2:12">
      <c r="B3" s="507" t="s">
        <v>1</v>
      </c>
      <c r="C3" s="507"/>
      <c r="D3" s="507"/>
      <c r="E3" s="507"/>
      <c r="F3" s="507"/>
      <c r="G3" s="507"/>
      <c r="H3" s="507"/>
      <c r="I3" s="507"/>
      <c r="J3" s="507"/>
      <c r="K3" s="507"/>
      <c r="L3" s="507"/>
    </row>
    <row r="24" spans="2:2">
      <c r="B24" s="1" t="s">
        <v>4</v>
      </c>
    </row>
  </sheetData>
  <mergeCells count="2">
    <mergeCell ref="B2:L2"/>
    <mergeCell ref="B3:L3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61"/>
  <sheetViews>
    <sheetView showGridLines="0" workbookViewId="0">
      <selection activeCell="O34" sqref="O34"/>
    </sheetView>
  </sheetViews>
  <sheetFormatPr baseColWidth="10" defaultColWidth="9.140625" defaultRowHeight="15"/>
  <cols>
    <col min="3" max="3" width="36" bestFit="1" customWidth="1"/>
    <col min="4" max="4" width="17.5703125" customWidth="1"/>
    <col min="5" max="5" width="20.28515625" bestFit="1" customWidth="1"/>
    <col min="6" max="6" width="12.7109375" bestFit="1" customWidth="1"/>
    <col min="7" max="7" width="15.28515625" bestFit="1" customWidth="1"/>
    <col min="9" max="9" width="33.28515625" bestFit="1" customWidth="1"/>
    <col min="10" max="10" width="12" bestFit="1" customWidth="1"/>
  </cols>
  <sheetData>
    <row r="1" spans="3:10">
      <c r="C1" s="573" t="s">
        <v>323</v>
      </c>
      <c r="D1" s="573"/>
      <c r="E1" s="573"/>
      <c r="F1" s="573"/>
      <c r="G1" s="573"/>
    </row>
    <row r="2" spans="3:10">
      <c r="C2" s="573" t="s">
        <v>322</v>
      </c>
      <c r="D2" s="573"/>
      <c r="E2" s="573"/>
      <c r="F2" s="573"/>
      <c r="G2" s="573"/>
    </row>
    <row r="3" spans="3:10">
      <c r="C3" s="574" t="s">
        <v>321</v>
      </c>
      <c r="D3" s="574"/>
      <c r="E3" s="574"/>
      <c r="F3" s="574"/>
      <c r="G3" s="574"/>
    </row>
    <row r="4" spans="3:10" ht="25.5">
      <c r="C4" s="569" t="s">
        <v>100</v>
      </c>
      <c r="D4" s="575" t="s">
        <v>101</v>
      </c>
      <c r="E4" s="569" t="s">
        <v>320</v>
      </c>
      <c r="F4" s="571" t="s">
        <v>319</v>
      </c>
      <c r="G4" s="203" t="s">
        <v>318</v>
      </c>
    </row>
    <row r="5" spans="3:10">
      <c r="C5" s="570"/>
      <c r="D5" s="576"/>
      <c r="E5" s="570"/>
      <c r="F5" s="572"/>
      <c r="G5" s="202" t="s">
        <v>317</v>
      </c>
    </row>
    <row r="6" spans="3:10">
      <c r="C6" s="196" t="s">
        <v>316</v>
      </c>
      <c r="D6" s="195">
        <v>6312086072</v>
      </c>
      <c r="E6" s="195">
        <v>2013983486.4599998</v>
      </c>
      <c r="F6" s="201">
        <v>1618235</v>
      </c>
      <c r="G6" s="201">
        <f>E6/F6</f>
        <v>1244.5556340457349</v>
      </c>
      <c r="J6" s="193"/>
    </row>
    <row r="7" spans="3:10">
      <c r="C7" s="199" t="s">
        <v>315</v>
      </c>
      <c r="D7" s="198">
        <v>2557798818</v>
      </c>
      <c r="E7" s="198">
        <v>516683628.67000002</v>
      </c>
      <c r="F7" s="200">
        <v>239845</v>
      </c>
      <c r="G7" s="200">
        <f>E7/F7</f>
        <v>2154.239732618983</v>
      </c>
      <c r="I7" s="199"/>
      <c r="J7" s="193"/>
    </row>
    <row r="8" spans="3:10">
      <c r="C8" s="199" t="s">
        <v>314</v>
      </c>
      <c r="D8" s="198">
        <v>1894916196</v>
      </c>
      <c r="E8" s="198">
        <v>522846016.8499999</v>
      </c>
      <c r="F8" s="200">
        <v>333221</v>
      </c>
      <c r="G8" s="200">
        <f>E8/F8</f>
        <v>1569.0668260703853</v>
      </c>
      <c r="I8" s="199"/>
      <c r="J8" s="193"/>
    </row>
    <row r="9" spans="3:10">
      <c r="C9" s="199" t="s">
        <v>313</v>
      </c>
      <c r="D9" s="198">
        <v>1734371058</v>
      </c>
      <c r="E9" s="198">
        <v>855703840.93999982</v>
      </c>
      <c r="F9" s="200">
        <v>1045169</v>
      </c>
      <c r="G9" s="200">
        <f>E9/F9</f>
        <v>818.72294427025656</v>
      </c>
      <c r="I9" s="199"/>
      <c r="J9" s="193"/>
    </row>
    <row r="10" spans="3:10">
      <c r="C10" s="199" t="s">
        <v>274</v>
      </c>
      <c r="D10" s="198">
        <v>125000000</v>
      </c>
      <c r="E10" s="198">
        <v>118750000</v>
      </c>
      <c r="F10" s="200"/>
      <c r="G10" s="200"/>
      <c r="I10" s="199"/>
      <c r="J10" s="193"/>
    </row>
    <row r="11" spans="3:10">
      <c r="C11" s="196" t="s">
        <v>312</v>
      </c>
      <c r="D11" s="195">
        <v>2524340293</v>
      </c>
      <c r="E11" s="195">
        <v>848064465.48000002</v>
      </c>
      <c r="F11" s="201">
        <v>737546</v>
      </c>
      <c r="G11" s="201">
        <f t="shared" ref="G11:G24" si="0">E11/F11</f>
        <v>1149.8462000743004</v>
      </c>
      <c r="I11" s="199"/>
      <c r="J11" s="193"/>
    </row>
    <row r="12" spans="3:10">
      <c r="C12" s="199" t="s">
        <v>311</v>
      </c>
      <c r="D12" s="198">
        <v>1432042522</v>
      </c>
      <c r="E12" s="198">
        <v>317676161.77000004</v>
      </c>
      <c r="F12" s="200">
        <v>411290</v>
      </c>
      <c r="G12" s="200">
        <f t="shared" si="0"/>
        <v>772.38970500133735</v>
      </c>
      <c r="I12" s="199"/>
      <c r="J12" s="193"/>
    </row>
    <row r="13" spans="3:10">
      <c r="C13" s="199" t="s">
        <v>310</v>
      </c>
      <c r="D13" s="198">
        <v>302195711</v>
      </c>
      <c r="E13" s="198">
        <v>86152709.030000001</v>
      </c>
      <c r="F13" s="200">
        <v>151978</v>
      </c>
      <c r="G13" s="200">
        <f t="shared" si="0"/>
        <v>566.87618622432194</v>
      </c>
      <c r="I13" s="199"/>
      <c r="J13" s="193"/>
    </row>
    <row r="14" spans="3:10">
      <c r="C14" s="199" t="s">
        <v>309</v>
      </c>
      <c r="D14" s="198">
        <v>790102060</v>
      </c>
      <c r="E14" s="198">
        <v>444235594.68000001</v>
      </c>
      <c r="F14" s="200">
        <v>174278</v>
      </c>
      <c r="G14" s="200">
        <f t="shared" si="0"/>
        <v>2549.0055811978564</v>
      </c>
      <c r="I14" s="199"/>
      <c r="J14" s="193"/>
    </row>
    <row r="15" spans="3:10">
      <c r="C15" s="196" t="s">
        <v>308</v>
      </c>
      <c r="D15" s="195">
        <v>3326402517</v>
      </c>
      <c r="E15" s="195">
        <v>1827202382.97</v>
      </c>
      <c r="F15" s="201">
        <v>644318</v>
      </c>
      <c r="G15" s="201">
        <f t="shared" si="0"/>
        <v>2835.8704598816112</v>
      </c>
      <c r="I15" s="199"/>
      <c r="J15" s="193"/>
    </row>
    <row r="16" spans="3:10">
      <c r="C16" s="199" t="s">
        <v>307</v>
      </c>
      <c r="D16" s="198">
        <v>1906352929</v>
      </c>
      <c r="E16" s="198">
        <v>1160879514.76</v>
      </c>
      <c r="F16" s="200">
        <v>298913</v>
      </c>
      <c r="G16" s="200">
        <f t="shared" si="0"/>
        <v>3883.6702142763947</v>
      </c>
      <c r="I16" s="199"/>
      <c r="J16" s="193"/>
    </row>
    <row r="17" spans="3:10">
      <c r="C17" s="199" t="s">
        <v>306</v>
      </c>
      <c r="D17" s="198">
        <v>373217404</v>
      </c>
      <c r="E17" s="198">
        <v>174682902.52000001</v>
      </c>
      <c r="F17" s="200">
        <v>141097</v>
      </c>
      <c r="G17" s="200">
        <f t="shared" si="0"/>
        <v>1238.034136232521</v>
      </c>
      <c r="I17" s="199"/>
      <c r="J17" s="193"/>
    </row>
    <row r="18" spans="3:10">
      <c r="C18" s="199" t="s">
        <v>305</v>
      </c>
      <c r="D18" s="198">
        <v>266570168</v>
      </c>
      <c r="E18" s="198">
        <v>112583486.93999998</v>
      </c>
      <c r="F18" s="200">
        <v>92148</v>
      </c>
      <c r="G18" s="200">
        <f t="shared" si="0"/>
        <v>1221.7681006641487</v>
      </c>
      <c r="I18" s="199"/>
      <c r="J18" s="193"/>
    </row>
    <row r="19" spans="3:10">
      <c r="C19" s="199" t="s">
        <v>304</v>
      </c>
      <c r="D19" s="198">
        <v>780262016</v>
      </c>
      <c r="E19" s="198">
        <v>379056478.75</v>
      </c>
      <c r="F19" s="200">
        <v>112160</v>
      </c>
      <c r="G19" s="200">
        <f t="shared" si="0"/>
        <v>3379.6048390691867</v>
      </c>
      <c r="I19" s="199"/>
      <c r="J19" s="193"/>
    </row>
    <row r="20" spans="3:10">
      <c r="C20" s="196" t="s">
        <v>303</v>
      </c>
      <c r="D20" s="195">
        <v>1951360813</v>
      </c>
      <c r="E20" s="195">
        <v>692306640.1099999</v>
      </c>
      <c r="F20" s="201">
        <v>417674</v>
      </c>
      <c r="G20" s="201">
        <f t="shared" si="0"/>
        <v>1657.5286948912308</v>
      </c>
      <c r="I20" s="199"/>
      <c r="J20" s="193"/>
    </row>
    <row r="21" spans="3:10">
      <c r="C21" s="199" t="s">
        <v>302</v>
      </c>
      <c r="D21" s="198">
        <v>608298895</v>
      </c>
      <c r="E21" s="198">
        <v>179982891.08000001</v>
      </c>
      <c r="F21" s="200">
        <v>66467</v>
      </c>
      <c r="G21" s="200">
        <f t="shared" si="0"/>
        <v>2707.8533870943479</v>
      </c>
      <c r="I21" s="199"/>
      <c r="J21" s="193"/>
    </row>
    <row r="22" spans="3:10">
      <c r="C22" s="199" t="s">
        <v>301</v>
      </c>
      <c r="D22" s="198">
        <v>662657112</v>
      </c>
      <c r="E22" s="198">
        <v>242121704.06999999</v>
      </c>
      <c r="F22" s="200">
        <v>117221</v>
      </c>
      <c r="G22" s="200">
        <f t="shared" si="0"/>
        <v>2065.5147462485388</v>
      </c>
      <c r="I22" s="199"/>
      <c r="J22" s="193"/>
    </row>
    <row r="23" spans="3:10">
      <c r="C23" s="199" t="s">
        <v>300</v>
      </c>
      <c r="D23" s="198">
        <v>230760142</v>
      </c>
      <c r="E23" s="198">
        <v>85900759.530000001</v>
      </c>
      <c r="F23" s="200">
        <v>57266</v>
      </c>
      <c r="G23" s="200">
        <f t="shared" si="0"/>
        <v>1500.0307255614152</v>
      </c>
      <c r="I23" s="199"/>
      <c r="J23" s="193"/>
    </row>
    <row r="24" spans="3:10">
      <c r="C24" s="199" t="s">
        <v>299</v>
      </c>
      <c r="D24" s="198">
        <v>443644664</v>
      </c>
      <c r="E24" s="198">
        <v>184301285.42999992</v>
      </c>
      <c r="F24" s="200">
        <v>176720</v>
      </c>
      <c r="G24" s="200">
        <f t="shared" si="0"/>
        <v>1042.8999854572201</v>
      </c>
      <c r="I24" s="199"/>
      <c r="J24" s="193"/>
    </row>
    <row r="25" spans="3:10">
      <c r="C25" s="199" t="s">
        <v>274</v>
      </c>
      <c r="D25" s="198">
        <v>6000000</v>
      </c>
      <c r="E25" s="198">
        <v>0</v>
      </c>
      <c r="F25" s="200"/>
      <c r="G25" s="200"/>
      <c r="I25" s="199"/>
      <c r="J25" s="193"/>
    </row>
    <row r="26" spans="3:10">
      <c r="C26" s="196" t="s">
        <v>298</v>
      </c>
      <c r="D26" s="195">
        <v>5914261086</v>
      </c>
      <c r="E26" s="195">
        <v>1516172281.54</v>
      </c>
      <c r="F26" s="201">
        <v>1111524</v>
      </c>
      <c r="G26" s="201">
        <f>E26/F26</f>
        <v>1364.0481730848817</v>
      </c>
      <c r="I26" s="199"/>
      <c r="J26" s="193"/>
    </row>
    <row r="27" spans="3:10">
      <c r="C27" s="199" t="s">
        <v>297</v>
      </c>
      <c r="D27" s="198">
        <v>3784856058</v>
      </c>
      <c r="E27" s="198">
        <v>851766353.14999974</v>
      </c>
      <c r="F27" s="200">
        <v>222256</v>
      </c>
      <c r="G27" s="200">
        <f>E27/F27</f>
        <v>3832.3660695324297</v>
      </c>
      <c r="I27" s="199"/>
      <c r="J27" s="193"/>
    </row>
    <row r="28" spans="3:10">
      <c r="C28" s="199" t="s">
        <v>296</v>
      </c>
      <c r="D28" s="198">
        <v>665697650</v>
      </c>
      <c r="E28" s="198">
        <v>260689787.36000001</v>
      </c>
      <c r="F28" s="200">
        <v>197434</v>
      </c>
      <c r="G28" s="200">
        <f>E28/F28</f>
        <v>1320.3895345279943</v>
      </c>
      <c r="I28" s="199"/>
      <c r="J28" s="193"/>
    </row>
    <row r="29" spans="3:10">
      <c r="C29" s="199" t="s">
        <v>295</v>
      </c>
      <c r="D29" s="198">
        <v>1137619159</v>
      </c>
      <c r="E29" s="198">
        <v>295702992.16000003</v>
      </c>
      <c r="F29" s="200">
        <v>637429</v>
      </c>
      <c r="G29" s="200">
        <f>E29/F29</f>
        <v>463.89949650863082</v>
      </c>
      <c r="I29" s="199"/>
      <c r="J29" s="193"/>
    </row>
    <row r="30" spans="3:10">
      <c r="C30" s="199" t="s">
        <v>294</v>
      </c>
      <c r="D30" s="198">
        <v>266088219</v>
      </c>
      <c r="E30" s="198">
        <v>108013148.87000002</v>
      </c>
      <c r="F30" s="200">
        <v>54405</v>
      </c>
      <c r="G30" s="200">
        <f>E30/F30</f>
        <v>1985.3533474864446</v>
      </c>
      <c r="I30" s="199"/>
      <c r="J30" s="193"/>
    </row>
    <row r="31" spans="3:10">
      <c r="C31" s="199" t="s">
        <v>274</v>
      </c>
      <c r="D31" s="198">
        <v>60000000</v>
      </c>
      <c r="E31" s="198">
        <v>0</v>
      </c>
      <c r="F31" s="200"/>
      <c r="G31" s="200"/>
      <c r="I31" s="199"/>
      <c r="J31" s="193"/>
    </row>
    <row r="32" spans="3:10">
      <c r="C32" s="196" t="s">
        <v>293</v>
      </c>
      <c r="D32" s="195">
        <v>4132328948</v>
      </c>
      <c r="E32" s="195">
        <v>1613988966.97</v>
      </c>
      <c r="F32" s="201">
        <v>383603</v>
      </c>
      <c r="G32" s="201">
        <f t="shared" ref="G32:G39" si="1">E32/F32</f>
        <v>4207.4461538882651</v>
      </c>
      <c r="I32" s="199"/>
      <c r="J32" s="193"/>
    </row>
    <row r="33" spans="3:10">
      <c r="C33" s="199" t="s">
        <v>292</v>
      </c>
      <c r="D33" s="198">
        <v>868098929</v>
      </c>
      <c r="E33" s="198">
        <v>368169411.04000008</v>
      </c>
      <c r="F33" s="200">
        <v>101005</v>
      </c>
      <c r="G33" s="200">
        <f t="shared" si="1"/>
        <v>3645.0612448888678</v>
      </c>
      <c r="I33" s="199"/>
      <c r="J33" s="193"/>
    </row>
    <row r="34" spans="3:10">
      <c r="C34" s="199" t="s">
        <v>291</v>
      </c>
      <c r="D34" s="198">
        <v>2604629440</v>
      </c>
      <c r="E34" s="198">
        <v>947457022.74000013</v>
      </c>
      <c r="F34" s="200">
        <v>189177</v>
      </c>
      <c r="G34" s="200">
        <f t="shared" si="1"/>
        <v>5008.3097984427286</v>
      </c>
      <c r="I34" s="199"/>
      <c r="J34" s="193"/>
    </row>
    <row r="35" spans="3:10">
      <c r="C35" s="199" t="s">
        <v>290</v>
      </c>
      <c r="D35" s="198">
        <v>454133071</v>
      </c>
      <c r="E35" s="198">
        <v>210432652.68000001</v>
      </c>
      <c r="F35" s="200">
        <v>58424</v>
      </c>
      <c r="G35" s="200">
        <f t="shared" si="1"/>
        <v>3601.818647815966</v>
      </c>
      <c r="I35" s="199"/>
      <c r="J35" s="193"/>
    </row>
    <row r="36" spans="3:10">
      <c r="C36" s="199" t="s">
        <v>289</v>
      </c>
      <c r="D36" s="198">
        <v>205467508</v>
      </c>
      <c r="E36" s="198">
        <v>87929880.50999999</v>
      </c>
      <c r="F36" s="200">
        <v>34997</v>
      </c>
      <c r="G36" s="200">
        <f t="shared" si="1"/>
        <v>2512.4976572277619</v>
      </c>
      <c r="I36" s="199"/>
      <c r="J36" s="193"/>
    </row>
    <row r="37" spans="3:10">
      <c r="C37" s="196" t="s">
        <v>288</v>
      </c>
      <c r="D37" s="195">
        <v>2220717624</v>
      </c>
      <c r="E37" s="195">
        <v>611623168.91000009</v>
      </c>
      <c r="F37" s="201">
        <v>285138</v>
      </c>
      <c r="G37" s="201">
        <f t="shared" si="1"/>
        <v>2145.0075714566283</v>
      </c>
      <c r="I37" s="199"/>
      <c r="J37" s="193"/>
    </row>
    <row r="38" spans="3:10">
      <c r="C38" s="199" t="s">
        <v>287</v>
      </c>
      <c r="D38" s="198">
        <v>750479740</v>
      </c>
      <c r="E38" s="198">
        <v>237107697.14000008</v>
      </c>
      <c r="F38" s="200">
        <v>63402</v>
      </c>
      <c r="G38" s="200">
        <f t="shared" si="1"/>
        <v>3739.7510668433183</v>
      </c>
      <c r="I38" s="199"/>
      <c r="J38" s="193"/>
    </row>
    <row r="39" spans="3:10">
      <c r="C39" s="199" t="s">
        <v>286</v>
      </c>
      <c r="D39" s="198">
        <v>1458938133</v>
      </c>
      <c r="E39" s="198">
        <v>373420471.89000005</v>
      </c>
      <c r="F39" s="200">
        <v>221736</v>
      </c>
      <c r="G39" s="200">
        <f t="shared" si="1"/>
        <v>1684.0768837265939</v>
      </c>
      <c r="J39" s="193"/>
    </row>
    <row r="40" spans="3:10">
      <c r="C40" s="199" t="s">
        <v>274</v>
      </c>
      <c r="D40" s="198">
        <v>11299751</v>
      </c>
      <c r="E40" s="198">
        <v>1094999.8799999999</v>
      </c>
      <c r="F40" s="200"/>
      <c r="G40" s="200"/>
    </row>
    <row r="41" spans="3:10">
      <c r="C41" s="196" t="s">
        <v>285</v>
      </c>
      <c r="D41" s="195">
        <v>2263257379</v>
      </c>
      <c r="E41" s="195">
        <v>868532035.51999986</v>
      </c>
      <c r="F41" s="201">
        <v>719511</v>
      </c>
      <c r="G41" s="201">
        <f>E41/F41</f>
        <v>1207.1143255905745</v>
      </c>
    </row>
    <row r="42" spans="3:10">
      <c r="C42" s="199" t="s">
        <v>284</v>
      </c>
      <c r="D42" s="198">
        <v>317259303</v>
      </c>
      <c r="E42" s="198">
        <v>129330089.05</v>
      </c>
      <c r="F42" s="200">
        <v>93508</v>
      </c>
      <c r="G42" s="200">
        <f>E42/F42</f>
        <v>1383.0911692047739</v>
      </c>
    </row>
    <row r="43" spans="3:10">
      <c r="C43" s="199" t="s">
        <v>283</v>
      </c>
      <c r="D43" s="198">
        <v>1151988968</v>
      </c>
      <c r="E43" s="198">
        <v>496405260.24999994</v>
      </c>
      <c r="F43" s="200">
        <v>353406</v>
      </c>
      <c r="G43" s="200">
        <f>E43/F43</f>
        <v>1404.6316707978924</v>
      </c>
    </row>
    <row r="44" spans="3:10">
      <c r="C44" s="199" t="s">
        <v>282</v>
      </c>
      <c r="D44" s="198">
        <v>793009108</v>
      </c>
      <c r="E44" s="198">
        <v>242796686.22</v>
      </c>
      <c r="F44" s="200">
        <v>272597</v>
      </c>
      <c r="G44" s="200">
        <f>E44/F44</f>
        <v>890.6799642695994</v>
      </c>
    </row>
    <row r="45" spans="3:10">
      <c r="C45" s="199" t="s">
        <v>274</v>
      </c>
      <c r="D45" s="198">
        <v>1000000</v>
      </c>
      <c r="E45" s="198">
        <v>0</v>
      </c>
      <c r="F45" s="200"/>
      <c r="G45" s="200"/>
    </row>
    <row r="46" spans="3:10">
      <c r="C46" s="196" t="s">
        <v>281</v>
      </c>
      <c r="D46" s="195">
        <v>2903037155</v>
      </c>
      <c r="E46" s="195">
        <v>1065678184.37</v>
      </c>
      <c r="F46" s="201">
        <v>581761</v>
      </c>
      <c r="G46" s="201">
        <f>E46/F46</f>
        <v>1831.8144123961558</v>
      </c>
    </row>
    <row r="47" spans="3:10">
      <c r="C47" s="199" t="s">
        <v>280</v>
      </c>
      <c r="D47" s="198">
        <v>1035358411</v>
      </c>
      <c r="E47" s="198">
        <v>300311811.74000001</v>
      </c>
      <c r="F47" s="200">
        <v>304966</v>
      </c>
      <c r="G47" s="200">
        <f>E47/F47</f>
        <v>984.73866509709285</v>
      </c>
    </row>
    <row r="48" spans="3:10">
      <c r="C48" s="199" t="s">
        <v>279</v>
      </c>
      <c r="D48" s="198">
        <v>881812474</v>
      </c>
      <c r="E48" s="198">
        <v>150529591.84999999</v>
      </c>
      <c r="F48" s="200">
        <v>191033</v>
      </c>
      <c r="G48" s="200">
        <f>E48/F48</f>
        <v>787.9769037286751</v>
      </c>
    </row>
    <row r="49" spans="3:10">
      <c r="C49" s="199" t="s">
        <v>278</v>
      </c>
      <c r="D49" s="198">
        <v>984330670</v>
      </c>
      <c r="E49" s="198">
        <v>614836780.78000009</v>
      </c>
      <c r="F49" s="200">
        <v>85762</v>
      </c>
      <c r="G49" s="200">
        <f>E49/F49</f>
        <v>7169.1049739978089</v>
      </c>
    </row>
    <row r="50" spans="3:10">
      <c r="C50" s="199" t="s">
        <v>274</v>
      </c>
      <c r="D50" s="198">
        <v>1535600</v>
      </c>
      <c r="E50" s="198">
        <v>0</v>
      </c>
      <c r="F50" s="200"/>
      <c r="G50" s="200"/>
    </row>
    <row r="51" spans="3:10">
      <c r="C51" s="196" t="s">
        <v>277</v>
      </c>
      <c r="D51" s="195">
        <v>28888333916</v>
      </c>
      <c r="E51" s="195">
        <v>11638151039.489998</v>
      </c>
      <c r="F51" s="201">
        <v>3949189</v>
      </c>
      <c r="G51" s="201">
        <f>E51/F51</f>
        <v>2946.9724137006351</v>
      </c>
      <c r="J51" s="193"/>
    </row>
    <row r="52" spans="3:10">
      <c r="C52" s="199" t="s">
        <v>276</v>
      </c>
      <c r="D52" s="198">
        <v>7258545546</v>
      </c>
      <c r="E52" s="198">
        <v>1539775381.4600003</v>
      </c>
      <c r="F52" s="200">
        <v>1043186</v>
      </c>
      <c r="G52" s="200">
        <f>E52/F52</f>
        <v>1476.0314857177916</v>
      </c>
      <c r="J52" s="193"/>
    </row>
    <row r="53" spans="3:10">
      <c r="C53" s="199" t="s">
        <v>275</v>
      </c>
      <c r="D53" s="198">
        <v>17261233424</v>
      </c>
      <c r="E53" s="198">
        <v>5811834573.6699963</v>
      </c>
      <c r="F53" s="200">
        <v>2906003</v>
      </c>
      <c r="G53" s="200">
        <f>E53/F53</f>
        <v>1999.9410095825765</v>
      </c>
      <c r="J53" s="193"/>
    </row>
    <row r="54" spans="3:10">
      <c r="C54" s="199" t="s">
        <v>274</v>
      </c>
      <c r="D54" s="198">
        <v>4368554946</v>
      </c>
      <c r="E54" s="198">
        <v>4286541084.3600001</v>
      </c>
      <c r="F54" s="197"/>
      <c r="G54" s="197"/>
      <c r="J54" s="193"/>
    </row>
    <row r="55" spans="3:10">
      <c r="C55" s="196" t="s">
        <v>273</v>
      </c>
      <c r="D55" s="195">
        <v>4338202612</v>
      </c>
      <c r="E55" s="195">
        <v>777142090.73999989</v>
      </c>
      <c r="F55" s="194"/>
      <c r="G55" s="194"/>
      <c r="J55" s="193"/>
    </row>
    <row r="56" spans="3:10">
      <c r="C56" s="192" t="s">
        <v>210</v>
      </c>
      <c r="D56" s="191">
        <f>D55+D51+D46+D41+D37+D32+D26+D20+D15+D11+D6</f>
        <v>64774328415</v>
      </c>
      <c r="E56" s="191">
        <f>E55+E51+E46+E41+E37+E32+E26+E20+E15+E11+E6</f>
        <v>23472844742.559998</v>
      </c>
      <c r="F56" s="190">
        <f>+F51+F46+F41+F37+F32+F26+F20+F15+F11+F6</f>
        <v>10448499</v>
      </c>
      <c r="G56" s="190">
        <f>E56/F56</f>
        <v>2246.5279216239574</v>
      </c>
    </row>
    <row r="57" spans="3:10">
      <c r="C57" s="189" t="s">
        <v>272</v>
      </c>
    </row>
    <row r="58" spans="3:10">
      <c r="C58" s="189" t="s">
        <v>271</v>
      </c>
    </row>
    <row r="59" spans="3:10">
      <c r="C59" s="189" t="s">
        <v>237</v>
      </c>
    </row>
    <row r="60" spans="3:10">
      <c r="C60" s="189" t="s">
        <v>270</v>
      </c>
    </row>
    <row r="61" spans="3:10">
      <c r="C61" s="189" t="s">
        <v>269</v>
      </c>
    </row>
  </sheetData>
  <mergeCells count="7">
    <mergeCell ref="C4:C5"/>
    <mergeCell ref="F4:F5"/>
    <mergeCell ref="C1:G1"/>
    <mergeCell ref="C2:G2"/>
    <mergeCell ref="C3:G3"/>
    <mergeCell ref="D4:D5"/>
    <mergeCell ref="E4:E5"/>
  </mergeCells>
  <pageMargins left="0.7" right="0.7" top="0.75" bottom="0.75" header="0.3" footer="0.3"/>
  <pageSetup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5"/>
  <sheetViews>
    <sheetView showGridLines="0" workbookViewId="0">
      <selection activeCell="O2" sqref="O2:P2"/>
    </sheetView>
  </sheetViews>
  <sheetFormatPr baseColWidth="10" defaultColWidth="11.42578125" defaultRowHeight="15"/>
  <cols>
    <col min="2" max="2" width="49" customWidth="1"/>
    <col min="3" max="4" width="17.7109375" customWidth="1"/>
    <col min="5" max="7" width="17.42578125" customWidth="1"/>
    <col min="8" max="9" width="17" customWidth="1"/>
    <col min="10" max="10" width="11.85546875" customWidth="1"/>
    <col min="11" max="11" width="7.85546875" customWidth="1"/>
    <col min="12" max="12" width="12.140625" customWidth="1"/>
    <col min="13" max="13" width="17.42578125" customWidth="1"/>
    <col min="14" max="14" width="13.85546875" bestFit="1" customWidth="1"/>
    <col min="15" max="15" width="13.5703125" bestFit="1" customWidth="1"/>
    <col min="16" max="16" width="17" bestFit="1" customWidth="1"/>
  </cols>
  <sheetData>
    <row r="1" spans="2:16" ht="15.75" thickBot="1"/>
    <row r="2" spans="2:16" ht="15.75" thickBot="1">
      <c r="O2" s="188" t="s">
        <v>268</v>
      </c>
      <c r="P2" s="187">
        <v>4630668626500</v>
      </c>
    </row>
    <row r="4" spans="2:16" ht="15.75">
      <c r="B4" s="562" t="s">
        <v>389</v>
      </c>
      <c r="C4" s="562"/>
      <c r="D4" s="562"/>
      <c r="E4" s="562"/>
      <c r="F4" s="562"/>
      <c r="G4" s="562"/>
      <c r="H4" s="562"/>
      <c r="I4" s="562"/>
      <c r="J4" s="562"/>
      <c r="K4" s="562"/>
      <c r="L4" s="562"/>
      <c r="M4" s="562"/>
    </row>
    <row r="5" spans="2:16" ht="16.5" thickBot="1">
      <c r="B5" s="562" t="s">
        <v>266</v>
      </c>
      <c r="C5" s="562"/>
      <c r="D5" s="562"/>
      <c r="E5" s="562"/>
      <c r="F5" s="562"/>
      <c r="G5" s="562"/>
      <c r="H5" s="562"/>
      <c r="I5" s="562"/>
      <c r="J5" s="562"/>
      <c r="K5" s="562"/>
      <c r="L5" s="562"/>
      <c r="M5" s="562"/>
    </row>
    <row r="6" spans="2:16" ht="23.25" thickBot="1">
      <c r="B6" s="564" t="s">
        <v>100</v>
      </c>
      <c r="C6" s="564" t="s">
        <v>101</v>
      </c>
      <c r="D6" s="564" t="s">
        <v>102</v>
      </c>
      <c r="E6" s="558" t="s">
        <v>103</v>
      </c>
      <c r="F6" s="559"/>
      <c r="G6" s="559"/>
      <c r="H6" s="559"/>
      <c r="I6" s="559"/>
      <c r="J6" s="559" t="s">
        <v>103</v>
      </c>
      <c r="K6" s="561"/>
      <c r="L6" s="184" t="s">
        <v>265</v>
      </c>
      <c r="M6" s="183" t="s">
        <v>264</v>
      </c>
    </row>
    <row r="7" spans="2:16" ht="23.25" thickBot="1">
      <c r="B7" s="565"/>
      <c r="C7" s="566"/>
      <c r="D7" s="566"/>
      <c r="E7" s="186" t="s">
        <v>388</v>
      </c>
      <c r="F7" s="185" t="s">
        <v>262</v>
      </c>
      <c r="G7" s="185" t="s">
        <v>261</v>
      </c>
      <c r="H7" s="185" t="s">
        <v>387</v>
      </c>
      <c r="I7" s="185" t="s">
        <v>259</v>
      </c>
      <c r="J7" s="185" t="s">
        <v>258</v>
      </c>
      <c r="K7" s="185" t="s">
        <v>108</v>
      </c>
      <c r="L7" s="184" t="s">
        <v>257</v>
      </c>
      <c r="M7" s="183" t="s">
        <v>256</v>
      </c>
    </row>
    <row r="8" spans="2:16" ht="15.75" thickBot="1">
      <c r="B8" s="566"/>
      <c r="C8" s="181">
        <v>1</v>
      </c>
      <c r="D8" s="181">
        <v>2</v>
      </c>
      <c r="E8" s="182">
        <v>3</v>
      </c>
      <c r="F8" s="182">
        <v>4</v>
      </c>
      <c r="G8" s="182">
        <v>5</v>
      </c>
      <c r="H8" s="182">
        <v>6</v>
      </c>
      <c r="I8" s="182">
        <v>7</v>
      </c>
      <c r="J8" s="182" t="s">
        <v>255</v>
      </c>
      <c r="K8" s="182">
        <v>9</v>
      </c>
      <c r="L8" s="181" t="s">
        <v>254</v>
      </c>
      <c r="M8" s="180" t="s">
        <v>253</v>
      </c>
    </row>
    <row r="9" spans="2:16">
      <c r="B9" s="243" t="s">
        <v>386</v>
      </c>
      <c r="C9" s="178">
        <f t="shared" ref="C9:I9" si="0">+C10+C11</f>
        <v>7792538581</v>
      </c>
      <c r="D9" s="178">
        <f t="shared" si="0"/>
        <v>8092538581</v>
      </c>
      <c r="E9" s="178">
        <f t="shared" si="0"/>
        <v>3764451451.5200009</v>
      </c>
      <c r="F9" s="178">
        <f t="shared" si="0"/>
        <v>3896269290.6599998</v>
      </c>
      <c r="G9" s="178">
        <f t="shared" si="0"/>
        <v>3946266273.1900005</v>
      </c>
      <c r="H9" s="178">
        <f t="shared" si="0"/>
        <v>3946266273.1900005</v>
      </c>
      <c r="I9" s="178">
        <f t="shared" si="0"/>
        <v>3946266273.1899996</v>
      </c>
      <c r="J9" s="177">
        <f t="shared" ref="J9:J46" si="1">+H9/D9</f>
        <v>0.48764256527058264</v>
      </c>
      <c r="K9" s="177">
        <f>+H9/P2</f>
        <v>8.5220226094491849E-4</v>
      </c>
      <c r="L9" s="177">
        <f t="shared" ref="L9:L46" si="2">+H9/E9 -1</f>
        <v>4.8297826127253307E-2</v>
      </c>
      <c r="M9" s="175">
        <f t="shared" ref="M9:M46" si="3">+H9/F9</f>
        <v>1.0128320141140787</v>
      </c>
    </row>
    <row r="10" spans="2:16">
      <c r="B10" s="229" t="s">
        <v>385</v>
      </c>
      <c r="C10" s="237">
        <v>2635779124</v>
      </c>
      <c r="D10" s="237">
        <v>2635779124</v>
      </c>
      <c r="E10" s="237">
        <v>1267889536</v>
      </c>
      <c r="F10" s="237">
        <v>1317889560.6599998</v>
      </c>
      <c r="G10" s="237">
        <v>1367889544.6300001</v>
      </c>
      <c r="H10" s="237">
        <v>1367889544.6300001</v>
      </c>
      <c r="I10" s="237">
        <v>1367889544.6300001</v>
      </c>
      <c r="J10" s="236">
        <f t="shared" si="1"/>
        <v>0.51896971645868462</v>
      </c>
      <c r="K10" s="236">
        <f>+H10/P2</f>
        <v>2.9539784747324764E-4</v>
      </c>
      <c r="L10" s="235">
        <f t="shared" si="2"/>
        <v>7.887123112119454E-2</v>
      </c>
      <c r="M10" s="234">
        <f t="shared" si="3"/>
        <v>1.0379394339727224</v>
      </c>
    </row>
    <row r="11" spans="2:16">
      <c r="B11" s="228" t="s">
        <v>384</v>
      </c>
      <c r="C11" s="237">
        <v>5156759457</v>
      </c>
      <c r="D11" s="237">
        <v>5456759457</v>
      </c>
      <c r="E11" s="237">
        <v>2496561915.5200009</v>
      </c>
      <c r="F11" s="237">
        <v>2578379730</v>
      </c>
      <c r="G11" s="237">
        <v>2578376728.5600004</v>
      </c>
      <c r="H11" s="237">
        <v>2578376728.5600004</v>
      </c>
      <c r="I11" s="237">
        <v>2578376728.5599995</v>
      </c>
      <c r="J11" s="236">
        <f t="shared" si="1"/>
        <v>0.47251060796759625</v>
      </c>
      <c r="K11" s="236">
        <f>+H11/P2</f>
        <v>5.568044134716709E-4</v>
      </c>
      <c r="L11" s="235">
        <f t="shared" si="2"/>
        <v>3.2770992992961157E-2</v>
      </c>
      <c r="M11" s="234">
        <f t="shared" si="3"/>
        <v>0.9999988359201073</v>
      </c>
    </row>
    <row r="12" spans="2:16">
      <c r="B12" s="230" t="s">
        <v>383</v>
      </c>
      <c r="C12" s="169">
        <f t="shared" ref="C12:I12" si="4">+SUM(C13:C34)</f>
        <v>594940662062</v>
      </c>
      <c r="D12" s="169">
        <f t="shared" si="4"/>
        <v>631725470967.25</v>
      </c>
      <c r="E12" s="169">
        <f t="shared" si="4"/>
        <v>240274276378.22995</v>
      </c>
      <c r="F12" s="169">
        <f t="shared" si="4"/>
        <v>303539050563.05988</v>
      </c>
      <c r="G12" s="169">
        <f t="shared" si="4"/>
        <v>334946030680.66992</v>
      </c>
      <c r="H12" s="169">
        <f t="shared" si="4"/>
        <v>278911026735.22998</v>
      </c>
      <c r="I12" s="169">
        <f t="shared" si="4"/>
        <v>265324670981.69003</v>
      </c>
      <c r="J12" s="168">
        <f t="shared" si="1"/>
        <v>0.44150669800947334</v>
      </c>
      <c r="K12" s="168">
        <f>+H12/P2</f>
        <v>6.023126447422765E-2</v>
      </c>
      <c r="L12" s="168">
        <f t="shared" si="2"/>
        <v>0.16080269157144245</v>
      </c>
      <c r="M12" s="167">
        <f t="shared" si="3"/>
        <v>0.91886373834883739</v>
      </c>
    </row>
    <row r="13" spans="2:16">
      <c r="B13" s="242" t="s">
        <v>382</v>
      </c>
      <c r="C13" s="227">
        <v>67553913169</v>
      </c>
      <c r="D13" s="227">
        <v>98857204907</v>
      </c>
      <c r="E13" s="227">
        <v>22926266761.020008</v>
      </c>
      <c r="F13" s="227">
        <v>34699938156.389999</v>
      </c>
      <c r="G13" s="227">
        <v>47014283737.789955</v>
      </c>
      <c r="H13" s="227">
        <v>44052491184.479996</v>
      </c>
      <c r="I13" s="227">
        <v>41749885522.450043</v>
      </c>
      <c r="J13" s="226">
        <f t="shared" si="1"/>
        <v>0.44561740569058589</v>
      </c>
      <c r="K13" s="226">
        <f>+H13/P2</f>
        <v>9.5132031111835793E-3</v>
      </c>
      <c r="L13" s="226">
        <f t="shared" si="2"/>
        <v>0.92148558872129538</v>
      </c>
      <c r="M13" s="225">
        <f t="shared" si="3"/>
        <v>1.2695265042242654</v>
      </c>
      <c r="N13" s="193"/>
      <c r="O13" s="193"/>
    </row>
    <row r="14" spans="2:16">
      <c r="B14" s="240" t="s">
        <v>381</v>
      </c>
      <c r="C14" s="227">
        <v>39178249860</v>
      </c>
      <c r="D14" s="227">
        <v>38712567575</v>
      </c>
      <c r="E14" s="227">
        <v>17266795710.209995</v>
      </c>
      <c r="F14" s="227">
        <v>19014743214.5</v>
      </c>
      <c r="G14" s="227">
        <v>18398632079.300003</v>
      </c>
      <c r="H14" s="227">
        <v>17987334218.000004</v>
      </c>
      <c r="I14" s="227">
        <v>17240888810.390003</v>
      </c>
      <c r="J14" s="226">
        <f t="shared" si="1"/>
        <v>0.46463810965656427</v>
      </c>
      <c r="K14" s="226">
        <f>+H14/P2</f>
        <v>3.8843924428242616E-3</v>
      </c>
      <c r="L14" s="226">
        <f t="shared" si="2"/>
        <v>4.1729717538961042E-2</v>
      </c>
      <c r="M14" s="225">
        <f t="shared" si="3"/>
        <v>0.94596776906687186</v>
      </c>
      <c r="N14" s="193"/>
      <c r="O14" s="164"/>
    </row>
    <row r="15" spans="2:16">
      <c r="B15" s="240" t="s">
        <v>380</v>
      </c>
      <c r="C15" s="227">
        <v>33257024285</v>
      </c>
      <c r="D15" s="227">
        <v>32537626623</v>
      </c>
      <c r="E15" s="227">
        <v>14065853987.279993</v>
      </c>
      <c r="F15" s="227">
        <v>16156126123.829998</v>
      </c>
      <c r="G15" s="227">
        <v>15448777039.17</v>
      </c>
      <c r="H15" s="227">
        <v>15053095247.530001</v>
      </c>
      <c r="I15" s="227">
        <v>14685299799.460009</v>
      </c>
      <c r="J15" s="226">
        <f t="shared" si="1"/>
        <v>0.46263654758670569</v>
      </c>
      <c r="K15" s="226">
        <f>+H15/P2</f>
        <v>3.2507390318075053E-3</v>
      </c>
      <c r="L15" s="226">
        <f t="shared" si="2"/>
        <v>7.0187082927406275E-2</v>
      </c>
      <c r="M15" s="225">
        <f t="shared" si="3"/>
        <v>0.93172677238059898</v>
      </c>
      <c r="N15" s="193"/>
      <c r="O15" s="164"/>
    </row>
    <row r="16" spans="2:16">
      <c r="B16" s="240" t="s">
        <v>379</v>
      </c>
      <c r="C16" s="227">
        <v>10249737660</v>
      </c>
      <c r="D16" s="227">
        <v>10358084526</v>
      </c>
      <c r="E16" s="227">
        <v>4347698571.9699974</v>
      </c>
      <c r="F16" s="227">
        <v>4994839220.1099997</v>
      </c>
      <c r="G16" s="227">
        <v>5499283151.8999987</v>
      </c>
      <c r="H16" s="227">
        <v>4631565571</v>
      </c>
      <c r="I16" s="227">
        <v>4475388908.5100002</v>
      </c>
      <c r="J16" s="226">
        <f t="shared" si="1"/>
        <v>0.44714498702672589</v>
      </c>
      <c r="K16" s="226">
        <f>+H16/P2</f>
        <v>1.0001936965419783E-3</v>
      </c>
      <c r="L16" s="226">
        <f t="shared" si="2"/>
        <v>6.5291324670049278E-2</v>
      </c>
      <c r="M16" s="225">
        <f t="shared" si="3"/>
        <v>0.92727020168188734</v>
      </c>
      <c r="N16" s="193"/>
      <c r="O16" s="164"/>
    </row>
    <row r="17" spans="2:15">
      <c r="B17" s="240" t="s">
        <v>378</v>
      </c>
      <c r="C17" s="227">
        <v>23041789377</v>
      </c>
      <c r="D17" s="227">
        <v>21985433697</v>
      </c>
      <c r="E17" s="227">
        <v>9022627963.670002</v>
      </c>
      <c r="F17" s="227">
        <v>10764798663.48</v>
      </c>
      <c r="G17" s="227">
        <v>9773740169.289999</v>
      </c>
      <c r="H17" s="227">
        <v>9348423185.470005</v>
      </c>
      <c r="I17" s="227">
        <v>9219097299.4499931</v>
      </c>
      <c r="J17" s="226">
        <f t="shared" si="1"/>
        <v>0.42520986005136824</v>
      </c>
      <c r="K17" s="226">
        <f>+H17/P2</f>
        <v>2.0188063408319995E-3</v>
      </c>
      <c r="L17" s="226">
        <f t="shared" si="2"/>
        <v>3.6108683978972822E-2</v>
      </c>
      <c r="M17" s="225">
        <f t="shared" si="3"/>
        <v>0.86842526996671998</v>
      </c>
      <c r="N17" s="193"/>
      <c r="O17" s="193"/>
    </row>
    <row r="18" spans="2:15">
      <c r="B18" s="240" t="s">
        <v>377</v>
      </c>
      <c r="C18" s="227">
        <v>194523028716</v>
      </c>
      <c r="D18" s="227">
        <v>195023611724</v>
      </c>
      <c r="E18" s="227">
        <v>87390290657.259918</v>
      </c>
      <c r="F18" s="227">
        <v>101673539367.42999</v>
      </c>
      <c r="G18" s="227">
        <v>142350709940.2699</v>
      </c>
      <c r="H18" s="227">
        <v>94523873384.21994</v>
      </c>
      <c r="I18" s="227">
        <v>90727600746.959991</v>
      </c>
      <c r="J18" s="226">
        <f t="shared" si="1"/>
        <v>0.48467912448463613</v>
      </c>
      <c r="K18" s="226">
        <f>+H18/P2</f>
        <v>2.0412575592925541E-2</v>
      </c>
      <c r="L18" s="226">
        <f t="shared" si="2"/>
        <v>8.1629007905896112E-2</v>
      </c>
      <c r="M18" s="225">
        <f t="shared" si="3"/>
        <v>0.92968017020266758</v>
      </c>
      <c r="N18" s="193"/>
      <c r="O18" s="164"/>
    </row>
    <row r="19" spans="2:15" ht="24">
      <c r="B19" s="240" t="s">
        <v>376</v>
      </c>
      <c r="C19" s="227">
        <v>94536596948</v>
      </c>
      <c r="D19" s="227">
        <v>103061104513.25</v>
      </c>
      <c r="E19" s="227">
        <v>35887588044.280006</v>
      </c>
      <c r="F19" s="227">
        <v>46662954362.440002</v>
      </c>
      <c r="G19" s="227">
        <v>43051048913.270027</v>
      </c>
      <c r="H19" s="227">
        <v>42033557428.439987</v>
      </c>
      <c r="I19" s="227">
        <v>40259775312.029991</v>
      </c>
      <c r="J19" s="226">
        <f t="shared" si="1"/>
        <v>0.40785083399757244</v>
      </c>
      <c r="K19" s="226">
        <f>+H19/P2</f>
        <v>9.0772112666179326E-3</v>
      </c>
      <c r="L19" s="226">
        <f t="shared" si="2"/>
        <v>0.17125612834656812</v>
      </c>
      <c r="M19" s="225">
        <f t="shared" si="3"/>
        <v>0.90079074509422163</v>
      </c>
      <c r="N19" s="193"/>
      <c r="O19" s="241"/>
    </row>
    <row r="20" spans="2:15" ht="24">
      <c r="B20" s="240" t="s">
        <v>375</v>
      </c>
      <c r="C20" s="227">
        <v>3000236939</v>
      </c>
      <c r="D20" s="227">
        <v>2886661290</v>
      </c>
      <c r="E20" s="227">
        <v>1165157624.48</v>
      </c>
      <c r="F20" s="227">
        <v>1625527328.96</v>
      </c>
      <c r="G20" s="227">
        <v>1034938245.0899998</v>
      </c>
      <c r="H20" s="227">
        <v>959830519.47999942</v>
      </c>
      <c r="I20" s="227">
        <v>863987513.8299998</v>
      </c>
      <c r="J20" s="226">
        <f t="shared" si="1"/>
        <v>0.33250541821621177</v>
      </c>
      <c r="K20" s="226">
        <f>+H20/P2</f>
        <v>2.0727687444252915E-4</v>
      </c>
      <c r="L20" s="226">
        <f t="shared" si="2"/>
        <v>-0.17622259914544725</v>
      </c>
      <c r="M20" s="225">
        <f t="shared" si="3"/>
        <v>0.59047332049107515</v>
      </c>
      <c r="N20" s="193"/>
      <c r="O20" s="164"/>
    </row>
    <row r="21" spans="2:15">
      <c r="B21" s="240" t="s">
        <v>374</v>
      </c>
      <c r="C21" s="227">
        <v>2584916739</v>
      </c>
      <c r="D21" s="227">
        <v>2343052050</v>
      </c>
      <c r="E21" s="227">
        <v>1135232945.1800005</v>
      </c>
      <c r="F21" s="227">
        <v>1294903134</v>
      </c>
      <c r="G21" s="227">
        <v>1089813305.7600002</v>
      </c>
      <c r="H21" s="227">
        <v>1085635712.5600002</v>
      </c>
      <c r="I21" s="227">
        <v>1010534235.0500003</v>
      </c>
      <c r="J21" s="226">
        <f t="shared" si="1"/>
        <v>0.46334255039703459</v>
      </c>
      <c r="K21" s="226">
        <f>+H21/P2</f>
        <v>2.344446990543041E-4</v>
      </c>
      <c r="L21" s="226">
        <f t="shared" si="2"/>
        <v>-4.3689035656145681E-2</v>
      </c>
      <c r="M21" s="225">
        <f t="shared" si="3"/>
        <v>0.83839144724782189</v>
      </c>
      <c r="N21" s="193"/>
      <c r="O21" s="164"/>
    </row>
    <row r="22" spans="2:15">
      <c r="B22" s="240" t="s">
        <v>373</v>
      </c>
      <c r="C22" s="227">
        <v>13185367268</v>
      </c>
      <c r="D22" s="227">
        <v>12911767596</v>
      </c>
      <c r="E22" s="227">
        <v>5138858095.8999977</v>
      </c>
      <c r="F22" s="227">
        <v>6237689319.4599991</v>
      </c>
      <c r="G22" s="227">
        <v>5444883080.3400011</v>
      </c>
      <c r="H22" s="227">
        <v>5434939291.5600004</v>
      </c>
      <c r="I22" s="227">
        <v>5110581384.1500015</v>
      </c>
      <c r="J22" s="226">
        <f t="shared" si="1"/>
        <v>0.42092914476277571</v>
      </c>
      <c r="K22" s="226">
        <f>+H22/P2</f>
        <v>1.1736834850279263E-3</v>
      </c>
      <c r="L22" s="226">
        <f t="shared" si="2"/>
        <v>5.7616145481080627E-2</v>
      </c>
      <c r="M22" s="225">
        <f t="shared" si="3"/>
        <v>0.87130650681885946</v>
      </c>
      <c r="N22" s="193"/>
      <c r="O22" s="164"/>
    </row>
    <row r="23" spans="2:15" ht="24">
      <c r="B23" s="240" t="s">
        <v>372</v>
      </c>
      <c r="C23" s="227">
        <v>43235726052</v>
      </c>
      <c r="D23" s="227">
        <v>43144494779</v>
      </c>
      <c r="E23" s="227">
        <v>17179777334.990004</v>
      </c>
      <c r="F23" s="227">
        <v>22556228211.610001</v>
      </c>
      <c r="G23" s="227">
        <v>16101587553.699997</v>
      </c>
      <c r="H23" s="227">
        <v>15842372138.669989</v>
      </c>
      <c r="I23" s="227">
        <v>14188629766.300009</v>
      </c>
      <c r="J23" s="226">
        <f t="shared" si="1"/>
        <v>0.36719336313519774</v>
      </c>
      <c r="K23" s="226">
        <f>+H23/P2</f>
        <v>3.4211845883353859E-3</v>
      </c>
      <c r="L23" s="226">
        <f t="shared" si="2"/>
        <v>-7.7847644369413604E-2</v>
      </c>
      <c r="M23" s="225">
        <f t="shared" si="3"/>
        <v>0.70235023293990717</v>
      </c>
      <c r="N23" s="193"/>
      <c r="O23" s="164"/>
    </row>
    <row r="24" spans="2:15">
      <c r="B24" s="240" t="s">
        <v>371</v>
      </c>
      <c r="C24" s="232">
        <v>7663177249</v>
      </c>
      <c r="D24" s="232">
        <v>7059463170</v>
      </c>
      <c r="E24" s="232">
        <v>2529027959.2400002</v>
      </c>
      <c r="F24" s="232">
        <v>3478430760.8999996</v>
      </c>
      <c r="G24" s="232">
        <v>2891596455.9299994</v>
      </c>
      <c r="H24" s="232">
        <v>2853822387.3199992</v>
      </c>
      <c r="I24" s="232">
        <v>2781642115.9499969</v>
      </c>
      <c r="J24" s="231">
        <f t="shared" si="1"/>
        <v>0.40425487301182411</v>
      </c>
      <c r="K24" s="231">
        <f>+H24/P2</f>
        <v>6.162873264107877E-4</v>
      </c>
      <c r="L24" s="226">
        <f t="shared" si="2"/>
        <v>0.12842658654418471</v>
      </c>
      <c r="M24" s="225">
        <f t="shared" si="3"/>
        <v>0.82043386328081147</v>
      </c>
      <c r="N24" s="193"/>
      <c r="O24" s="164"/>
    </row>
    <row r="25" spans="2:15">
      <c r="B25" s="240" t="s">
        <v>370</v>
      </c>
      <c r="C25" s="232">
        <v>9117856367</v>
      </c>
      <c r="D25" s="232">
        <v>8573385636</v>
      </c>
      <c r="E25" s="232">
        <v>2337588215.8200002</v>
      </c>
      <c r="F25" s="232">
        <v>4657039682.2800007</v>
      </c>
      <c r="G25" s="232">
        <v>3484280270.769999</v>
      </c>
      <c r="H25" s="232">
        <v>2784059723.1300011</v>
      </c>
      <c r="I25" s="232">
        <v>2169597225.4500012</v>
      </c>
      <c r="J25" s="231">
        <f t="shared" si="1"/>
        <v>0.32473282333639808</v>
      </c>
      <c r="K25" s="231">
        <f>+H25/P2</f>
        <v>6.0122197196267049E-4</v>
      </c>
      <c r="L25" s="226">
        <f t="shared" si="2"/>
        <v>0.19099664529810423</v>
      </c>
      <c r="M25" s="225">
        <f t="shared" si="3"/>
        <v>0.59781747914309735</v>
      </c>
      <c r="N25" s="193"/>
      <c r="O25" s="164"/>
    </row>
    <row r="26" spans="2:15">
      <c r="B26" s="240" t="s">
        <v>369</v>
      </c>
      <c r="C26" s="232">
        <v>11715033645</v>
      </c>
      <c r="D26" s="232">
        <v>11715033645</v>
      </c>
      <c r="E26" s="232">
        <v>5124899895.0999985</v>
      </c>
      <c r="F26" s="232">
        <v>8385996856</v>
      </c>
      <c r="G26" s="232">
        <v>7292421050.8000002</v>
      </c>
      <c r="H26" s="232">
        <v>7292421050.8000002</v>
      </c>
      <c r="I26" s="232">
        <v>7277202905.3000002</v>
      </c>
      <c r="J26" s="231">
        <f t="shared" si="1"/>
        <v>0.62248400403975113</v>
      </c>
      <c r="K26" s="231">
        <f>+H26/P2</f>
        <v>1.5748095229849849E-3</v>
      </c>
      <c r="L26" s="226">
        <f t="shared" si="2"/>
        <v>0.42293921833915316</v>
      </c>
      <c r="M26" s="225">
        <f t="shared" si="3"/>
        <v>0.86959501369028425</v>
      </c>
      <c r="N26" s="193"/>
      <c r="O26" s="164"/>
    </row>
    <row r="27" spans="2:15">
      <c r="B27" s="240" t="s">
        <v>368</v>
      </c>
      <c r="C27" s="232">
        <v>808551026</v>
      </c>
      <c r="D27" s="232">
        <v>808551026</v>
      </c>
      <c r="E27" s="232">
        <v>310342990.82000011</v>
      </c>
      <c r="F27" s="232">
        <v>379795479</v>
      </c>
      <c r="G27" s="232">
        <v>297955520.45000005</v>
      </c>
      <c r="H27" s="232">
        <v>284189070.85000002</v>
      </c>
      <c r="I27" s="232">
        <v>264205481.50999993</v>
      </c>
      <c r="J27" s="231">
        <f t="shared" si="1"/>
        <v>0.35147945115587548</v>
      </c>
      <c r="K27" s="231">
        <f>+H27/P2</f>
        <v>6.1371066204924876E-5</v>
      </c>
      <c r="L27" s="226">
        <f t="shared" si="2"/>
        <v>-8.4274240900028663E-2</v>
      </c>
      <c r="M27" s="225">
        <f t="shared" si="3"/>
        <v>0.74826870398317724</v>
      </c>
      <c r="N27" s="193"/>
      <c r="O27" s="164"/>
    </row>
    <row r="28" spans="2:15">
      <c r="B28" s="240" t="s">
        <v>367</v>
      </c>
      <c r="C28" s="232">
        <v>2845294104</v>
      </c>
      <c r="D28" s="232">
        <v>3003884192</v>
      </c>
      <c r="E28" s="232">
        <v>1077454388.2300005</v>
      </c>
      <c r="F28" s="232">
        <v>1408151661.3800001</v>
      </c>
      <c r="G28" s="232">
        <v>1163740294.499999</v>
      </c>
      <c r="H28" s="232">
        <v>1106890779.2399995</v>
      </c>
      <c r="I28" s="232">
        <v>1090867074.49</v>
      </c>
      <c r="J28" s="231">
        <f t="shared" si="1"/>
        <v>0.36848650230521257</v>
      </c>
      <c r="K28" s="231">
        <f>+H28/P2</f>
        <v>2.3903476333969964E-4</v>
      </c>
      <c r="L28" s="226">
        <f t="shared" si="2"/>
        <v>2.7320312888934328E-2</v>
      </c>
      <c r="M28" s="225">
        <f t="shared" si="3"/>
        <v>0.78605934971183256</v>
      </c>
      <c r="N28" s="193"/>
      <c r="O28" s="164"/>
    </row>
    <row r="29" spans="2:15">
      <c r="B29" s="240" t="s">
        <v>366</v>
      </c>
      <c r="C29" s="232">
        <v>718371561</v>
      </c>
      <c r="D29" s="232">
        <v>803371561</v>
      </c>
      <c r="E29" s="232">
        <v>263947309.66999987</v>
      </c>
      <c r="F29" s="232">
        <v>380318441.35000002</v>
      </c>
      <c r="G29" s="232">
        <v>435131401.57999992</v>
      </c>
      <c r="H29" s="232">
        <v>294301124.00999999</v>
      </c>
      <c r="I29" s="232">
        <v>272767288.49000001</v>
      </c>
      <c r="J29" s="231">
        <f t="shared" si="1"/>
        <v>0.36633251448889659</v>
      </c>
      <c r="K29" s="231">
        <f>+H29/P2</f>
        <v>6.3554779611263548E-5</v>
      </c>
      <c r="L29" s="226">
        <f t="shared" si="2"/>
        <v>0.11499952160129978</v>
      </c>
      <c r="M29" s="225">
        <f t="shared" si="3"/>
        <v>0.77382817137484039</v>
      </c>
      <c r="N29" s="193"/>
      <c r="O29" s="164"/>
    </row>
    <row r="30" spans="2:15" ht="24">
      <c r="B30" s="240" t="s">
        <v>365</v>
      </c>
      <c r="C30" s="232">
        <v>15267251691</v>
      </c>
      <c r="D30" s="232">
        <v>15653072645</v>
      </c>
      <c r="E30" s="232">
        <v>5367624650.6200018</v>
      </c>
      <c r="F30" s="232">
        <v>8448165542.1700001</v>
      </c>
      <c r="G30" s="232">
        <v>5829644189.2600012</v>
      </c>
      <c r="H30" s="232">
        <v>5424508240.3400011</v>
      </c>
      <c r="I30" s="232">
        <v>4212727865.0500007</v>
      </c>
      <c r="J30" s="231">
        <f t="shared" si="1"/>
        <v>0.34654590592938511</v>
      </c>
      <c r="K30" s="231">
        <f>+H30/P2</f>
        <v>1.1714308835007287E-3</v>
      </c>
      <c r="L30" s="226">
        <f t="shared" si="2"/>
        <v>1.059753492886828E-2</v>
      </c>
      <c r="M30" s="225">
        <f t="shared" si="3"/>
        <v>0.64209303348317903</v>
      </c>
      <c r="N30" s="193"/>
      <c r="O30" s="164"/>
    </row>
    <row r="31" spans="2:15" ht="24">
      <c r="B31" s="240" t="s">
        <v>364</v>
      </c>
      <c r="C31" s="232">
        <v>15813237287</v>
      </c>
      <c r="D31" s="232">
        <v>15761088549</v>
      </c>
      <c r="E31" s="232">
        <v>6042328272.2300005</v>
      </c>
      <c r="F31" s="232">
        <v>7551779349.3599987</v>
      </c>
      <c r="G31" s="232">
        <v>6249715848.2700024</v>
      </c>
      <c r="H31" s="232">
        <v>5981290889.949996</v>
      </c>
      <c r="I31" s="232">
        <v>5912232457.8199968</v>
      </c>
      <c r="J31" s="231">
        <f t="shared" si="1"/>
        <v>0.37949732160660271</v>
      </c>
      <c r="K31" s="231">
        <f>+H31/P2</f>
        <v>1.2916689515895757E-3</v>
      </c>
      <c r="L31" s="226">
        <f t="shared" si="2"/>
        <v>-1.0101632935192728E-2</v>
      </c>
      <c r="M31" s="225">
        <f t="shared" si="3"/>
        <v>0.79203729521796751</v>
      </c>
      <c r="N31" s="193"/>
      <c r="O31" s="164"/>
    </row>
    <row r="32" spans="2:15" ht="24">
      <c r="B32" s="240" t="s">
        <v>363</v>
      </c>
      <c r="C32" s="232">
        <v>4093497050</v>
      </c>
      <c r="D32" s="232">
        <v>4016007358</v>
      </c>
      <c r="E32" s="232">
        <v>799250616.43999982</v>
      </c>
      <c r="F32" s="232">
        <v>1923233037</v>
      </c>
      <c r="G32" s="232">
        <v>1096086578.97</v>
      </c>
      <c r="H32" s="232">
        <v>1014176413.58</v>
      </c>
      <c r="I32" s="232">
        <v>944628333.93999946</v>
      </c>
      <c r="J32" s="231">
        <f t="shared" si="1"/>
        <v>0.25253350484025683</v>
      </c>
      <c r="K32" s="231">
        <f>+H32/P2</f>
        <v>2.190129537182075E-4</v>
      </c>
      <c r="L32" s="226">
        <f t="shared" si="2"/>
        <v>0.26890914153725243</v>
      </c>
      <c r="M32" s="225">
        <f t="shared" si="3"/>
        <v>0.52732892690008426</v>
      </c>
      <c r="N32" s="193"/>
      <c r="O32" s="164"/>
    </row>
    <row r="33" spans="2:15">
      <c r="B33" s="240" t="s">
        <v>362</v>
      </c>
      <c r="C33" s="232">
        <v>1133583046</v>
      </c>
      <c r="D33" s="232">
        <v>1102911882</v>
      </c>
      <c r="E33" s="232">
        <v>349846769.69999975</v>
      </c>
      <c r="F33" s="232">
        <v>555304777.80999994</v>
      </c>
      <c r="G33" s="232">
        <v>415969982.90999979</v>
      </c>
      <c r="H33" s="232">
        <v>361449681.95999986</v>
      </c>
      <c r="I33" s="232">
        <v>342612082.8499999</v>
      </c>
      <c r="J33" s="231">
        <f t="shared" si="1"/>
        <v>0.32772308274034884</v>
      </c>
      <c r="K33" s="231">
        <f>+H33/P2</f>
        <v>7.8055613803053425E-5</v>
      </c>
      <c r="L33" s="226">
        <f t="shared" si="2"/>
        <v>3.31656978566639E-2</v>
      </c>
      <c r="M33" s="225">
        <f t="shared" si="3"/>
        <v>0.65090324521513754</v>
      </c>
      <c r="N33" s="193"/>
      <c r="O33" s="164"/>
    </row>
    <row r="34" spans="2:15">
      <c r="B34" s="239" t="s">
        <v>361</v>
      </c>
      <c r="C34" s="232">
        <v>1418222023</v>
      </c>
      <c r="D34" s="232">
        <v>1407092023</v>
      </c>
      <c r="E34" s="232">
        <v>545817614.12000012</v>
      </c>
      <c r="F34" s="232">
        <v>689547873.5999999</v>
      </c>
      <c r="G34" s="232">
        <v>581791871.3499999</v>
      </c>
      <c r="H34" s="232">
        <v>560799492.6400001</v>
      </c>
      <c r="I34" s="232">
        <v>524518852.26000029</v>
      </c>
      <c r="J34" s="231">
        <f t="shared" si="1"/>
        <v>0.39855210851408551</v>
      </c>
      <c r="K34" s="231">
        <f>+H34/P2</f>
        <v>1.211055115087925E-4</v>
      </c>
      <c r="L34" s="226">
        <f t="shared" si="2"/>
        <v>2.7448506849957033E-2</v>
      </c>
      <c r="M34" s="225">
        <f t="shared" si="3"/>
        <v>0.81328579800003054</v>
      </c>
      <c r="N34" s="193"/>
      <c r="O34" s="164"/>
    </row>
    <row r="35" spans="2:15">
      <c r="B35" s="230" t="s">
        <v>360</v>
      </c>
      <c r="C35" s="169">
        <f t="shared" ref="C35:I35" si="5">+C36</f>
        <v>8619263346</v>
      </c>
      <c r="D35" s="169">
        <f t="shared" si="5"/>
        <v>8619263346</v>
      </c>
      <c r="E35" s="169">
        <f t="shared" si="5"/>
        <v>4052413966.3499999</v>
      </c>
      <c r="F35" s="169">
        <f t="shared" si="5"/>
        <v>4309631688</v>
      </c>
      <c r="G35" s="169">
        <f t="shared" si="5"/>
        <v>4309631656.5</v>
      </c>
      <c r="H35" s="169">
        <f t="shared" si="5"/>
        <v>4309631656.5</v>
      </c>
      <c r="I35" s="169">
        <f t="shared" si="5"/>
        <v>4309631656.5</v>
      </c>
      <c r="J35" s="168">
        <f t="shared" si="1"/>
        <v>0.49999999808568329</v>
      </c>
      <c r="K35" s="168">
        <f>+H35/P2</f>
        <v>9.3067157339594617E-4</v>
      </c>
      <c r="L35" s="168">
        <f t="shared" si="2"/>
        <v>6.3472708436467018E-2</v>
      </c>
      <c r="M35" s="167">
        <f t="shared" si="3"/>
        <v>0.99999999269079065</v>
      </c>
      <c r="N35" s="164"/>
      <c r="O35" s="164"/>
    </row>
    <row r="36" spans="2:15">
      <c r="B36" s="238" t="s">
        <v>359</v>
      </c>
      <c r="C36" s="237">
        <v>8619263346</v>
      </c>
      <c r="D36" s="237">
        <v>8619263346</v>
      </c>
      <c r="E36" s="237">
        <v>4052413966.3499999</v>
      </c>
      <c r="F36" s="237">
        <v>4309631688</v>
      </c>
      <c r="G36" s="237">
        <v>4309631656.5</v>
      </c>
      <c r="H36" s="237">
        <v>4309631656.5</v>
      </c>
      <c r="I36" s="237">
        <v>4309631656.5</v>
      </c>
      <c r="J36" s="236">
        <f t="shared" si="1"/>
        <v>0.49999999808568329</v>
      </c>
      <c r="K36" s="236">
        <f>+H36/P2</f>
        <v>9.3067157339594617E-4</v>
      </c>
      <c r="L36" s="235">
        <f t="shared" si="2"/>
        <v>6.3472708436467018E-2</v>
      </c>
      <c r="M36" s="234">
        <f t="shared" si="3"/>
        <v>0.99999999269079065</v>
      </c>
      <c r="N36" s="164"/>
      <c r="O36" s="164"/>
    </row>
    <row r="37" spans="2:15">
      <c r="B37" s="230" t="s">
        <v>358</v>
      </c>
      <c r="C37" s="169">
        <f t="shared" ref="C37:I37" si="6">+SUM(C38:C42)</f>
        <v>13781128410</v>
      </c>
      <c r="D37" s="169">
        <f t="shared" si="6"/>
        <v>20237728410</v>
      </c>
      <c r="E37" s="169">
        <f t="shared" si="6"/>
        <v>5407406949.5599995</v>
      </c>
      <c r="F37" s="169">
        <f t="shared" si="6"/>
        <v>10647517480</v>
      </c>
      <c r="G37" s="169">
        <f t="shared" si="6"/>
        <v>10647356727.509998</v>
      </c>
      <c r="H37" s="169">
        <f t="shared" si="6"/>
        <v>10647356727.509998</v>
      </c>
      <c r="I37" s="169">
        <f t="shared" si="6"/>
        <v>10647356727.509996</v>
      </c>
      <c r="J37" s="168">
        <f t="shared" si="1"/>
        <v>0.5261142215076301</v>
      </c>
      <c r="K37" s="168">
        <f>+H37/P2</f>
        <v>2.2993130336682274E-3</v>
      </c>
      <c r="L37" s="168">
        <f t="shared" si="2"/>
        <v>0.96903189029935577</v>
      </c>
      <c r="M37" s="167">
        <f t="shared" si="3"/>
        <v>0.9999849023502142</v>
      </c>
      <c r="N37" s="164"/>
      <c r="O37" s="164"/>
    </row>
    <row r="38" spans="2:15">
      <c r="B38" s="229" t="s">
        <v>357</v>
      </c>
      <c r="C38" s="232">
        <v>10864798551</v>
      </c>
      <c r="D38" s="232">
        <v>17321398551</v>
      </c>
      <c r="E38" s="232">
        <v>4014530573.4799995</v>
      </c>
      <c r="F38" s="232">
        <v>9189352576</v>
      </c>
      <c r="G38" s="232">
        <v>9189352563.1099987</v>
      </c>
      <c r="H38" s="232">
        <v>9189352563.1099987</v>
      </c>
      <c r="I38" s="232">
        <v>9189352563.1099968</v>
      </c>
      <c r="J38" s="231">
        <f t="shared" si="1"/>
        <v>0.53052024269596165</v>
      </c>
      <c r="K38" s="231">
        <f>+H38/P2</f>
        <v>1.9844547956901831E-3</v>
      </c>
      <c r="L38" s="226">
        <f t="shared" si="2"/>
        <v>1.2890229367824193</v>
      </c>
      <c r="M38" s="225">
        <f t="shared" si="3"/>
        <v>0.9999999985972895</v>
      </c>
      <c r="N38" s="193"/>
      <c r="O38" s="193"/>
    </row>
    <row r="39" spans="2:15">
      <c r="B39" s="233" t="s">
        <v>356</v>
      </c>
      <c r="C39" s="232">
        <v>974248087</v>
      </c>
      <c r="D39" s="232">
        <v>974248087</v>
      </c>
      <c r="E39" s="232">
        <v>433876396.0799998</v>
      </c>
      <c r="F39" s="232">
        <v>487124040</v>
      </c>
      <c r="G39" s="232">
        <v>487077418.34000003</v>
      </c>
      <c r="H39" s="232">
        <v>487077418.34000003</v>
      </c>
      <c r="I39" s="232">
        <v>487077418.33999997</v>
      </c>
      <c r="J39" s="231">
        <f t="shared" si="1"/>
        <v>0.4999521424156515</v>
      </c>
      <c r="K39" s="231">
        <f>+H39/P2</f>
        <v>1.0518511636798937E-4</v>
      </c>
      <c r="L39" s="226">
        <f t="shared" si="2"/>
        <v>0.12261792238679603</v>
      </c>
      <c r="M39" s="225">
        <f t="shared" si="3"/>
        <v>0.99990429201564357</v>
      </c>
      <c r="N39" s="193"/>
      <c r="O39" s="164"/>
    </row>
    <row r="40" spans="2:15">
      <c r="B40" s="233" t="s">
        <v>355</v>
      </c>
      <c r="C40" s="232">
        <v>1175371875</v>
      </c>
      <c r="D40" s="232">
        <v>1175371875</v>
      </c>
      <c r="E40" s="232">
        <v>576499980</v>
      </c>
      <c r="F40" s="232">
        <v>587685930</v>
      </c>
      <c r="G40" s="232">
        <v>587685918.05999982</v>
      </c>
      <c r="H40" s="232">
        <v>587685918.05999982</v>
      </c>
      <c r="I40" s="232">
        <v>587685918.0599997</v>
      </c>
      <c r="J40" s="231">
        <f t="shared" si="1"/>
        <v>0.49999998346055358</v>
      </c>
      <c r="K40" s="231">
        <f>+H40/P2</f>
        <v>1.2691167636069668E-4</v>
      </c>
      <c r="L40" s="226">
        <f t="shared" si="2"/>
        <v>1.9403188981897079E-2</v>
      </c>
      <c r="M40" s="225">
        <f t="shared" si="3"/>
        <v>0.99999997968302534</v>
      </c>
      <c r="N40" s="193"/>
      <c r="O40" s="164"/>
    </row>
    <row r="41" spans="2:15">
      <c r="B41" s="233" t="s">
        <v>354</v>
      </c>
      <c r="C41" s="232">
        <v>165328228</v>
      </c>
      <c r="D41" s="232">
        <v>165328228</v>
      </c>
      <c r="E41" s="232">
        <v>82500000</v>
      </c>
      <c r="F41" s="232">
        <v>82664112</v>
      </c>
      <c r="G41" s="232">
        <v>82550000</v>
      </c>
      <c r="H41" s="232">
        <v>82550000</v>
      </c>
      <c r="I41" s="232">
        <v>82550000</v>
      </c>
      <c r="J41" s="231">
        <f t="shared" si="1"/>
        <v>0.4993097730412982</v>
      </c>
      <c r="K41" s="231">
        <f>+H41/P2</f>
        <v>1.782679925045593E-5</v>
      </c>
      <c r="L41" s="226">
        <f t="shared" si="2"/>
        <v>6.0606060606049894E-4</v>
      </c>
      <c r="M41" s="225">
        <f t="shared" si="3"/>
        <v>0.99861957024349335</v>
      </c>
      <c r="N41" s="193"/>
      <c r="O41" s="164"/>
    </row>
    <row r="42" spans="2:15">
      <c r="B42" s="228" t="s">
        <v>353</v>
      </c>
      <c r="C42" s="232">
        <v>601381669</v>
      </c>
      <c r="D42" s="232">
        <v>601381669</v>
      </c>
      <c r="E42" s="232">
        <v>299999999.99999994</v>
      </c>
      <c r="F42" s="232">
        <v>300690822</v>
      </c>
      <c r="G42" s="232">
        <v>300690828.00000006</v>
      </c>
      <c r="H42" s="232">
        <v>300690828.00000006</v>
      </c>
      <c r="I42" s="232">
        <v>300690828</v>
      </c>
      <c r="J42" s="231">
        <f t="shared" si="1"/>
        <v>0.49999998919155625</v>
      </c>
      <c r="K42" s="231">
        <f>+H42/P2</f>
        <v>6.493464599890217E-5</v>
      </c>
      <c r="L42" s="226">
        <f t="shared" si="2"/>
        <v>2.3027600000002924E-3</v>
      </c>
      <c r="M42" s="225">
        <f t="shared" si="3"/>
        <v>1.0000000199540513</v>
      </c>
      <c r="N42" s="193"/>
      <c r="O42" s="164"/>
    </row>
    <row r="43" spans="2:15">
      <c r="B43" s="230" t="s">
        <v>327</v>
      </c>
      <c r="C43" s="169">
        <f t="shared" ref="C43:I43" si="7">+C44+C45</f>
        <v>235940780544</v>
      </c>
      <c r="D43" s="169">
        <f t="shared" si="7"/>
        <v>238027869076</v>
      </c>
      <c r="E43" s="169">
        <f t="shared" si="7"/>
        <v>100694842527.72002</v>
      </c>
      <c r="F43" s="169">
        <f t="shared" si="7"/>
        <v>103235381610.29999</v>
      </c>
      <c r="G43" s="169">
        <f t="shared" si="7"/>
        <v>115011086068.31</v>
      </c>
      <c r="H43" s="169">
        <f t="shared" si="7"/>
        <v>104528497134.60999</v>
      </c>
      <c r="I43" s="169">
        <f t="shared" si="7"/>
        <v>73142856031.779999</v>
      </c>
      <c r="J43" s="168">
        <f t="shared" si="1"/>
        <v>0.43914394369188359</v>
      </c>
      <c r="K43" s="168">
        <f>+H43/P2</f>
        <v>2.2573089453307695E-2</v>
      </c>
      <c r="L43" s="168">
        <f t="shared" si="2"/>
        <v>3.8072005582953317E-2</v>
      </c>
      <c r="M43" s="167">
        <f t="shared" si="3"/>
        <v>1.0125258947479008</v>
      </c>
      <c r="O43" s="164"/>
    </row>
    <row r="44" spans="2:15" ht="24.75">
      <c r="B44" s="229" t="s">
        <v>352</v>
      </c>
      <c r="C44" s="227">
        <v>167150779513</v>
      </c>
      <c r="D44" s="227">
        <v>162588407209</v>
      </c>
      <c r="E44" s="227">
        <v>75242548855.560013</v>
      </c>
      <c r="F44" s="227">
        <v>69782359378.299988</v>
      </c>
      <c r="G44" s="227">
        <v>75403605205.75</v>
      </c>
      <c r="H44" s="227">
        <v>75252709901.039993</v>
      </c>
      <c r="I44" s="227">
        <v>43922821067.840004</v>
      </c>
      <c r="J44" s="226">
        <f t="shared" si="1"/>
        <v>0.46284179292257938</v>
      </c>
      <c r="K44" s="226">
        <f>+H44/P2</f>
        <v>1.625093824904467E-2</v>
      </c>
      <c r="L44" s="226">
        <f t="shared" si="2"/>
        <v>1.3504387656348982E-4</v>
      </c>
      <c r="M44" s="225">
        <f t="shared" si="3"/>
        <v>1.0783915959774943</v>
      </c>
      <c r="N44" s="193"/>
      <c r="O44" s="164"/>
    </row>
    <row r="45" spans="2:15" ht="25.5" thickBot="1">
      <c r="B45" s="228" t="s">
        <v>351</v>
      </c>
      <c r="C45" s="227">
        <v>68790001031</v>
      </c>
      <c r="D45" s="227">
        <v>75439461867</v>
      </c>
      <c r="E45" s="227">
        <v>25452293672.160004</v>
      </c>
      <c r="F45" s="227">
        <v>33453022232.000004</v>
      </c>
      <c r="G45" s="227">
        <v>39607480862.55999</v>
      </c>
      <c r="H45" s="227">
        <v>29275787233.57</v>
      </c>
      <c r="I45" s="227">
        <v>29220034963.940002</v>
      </c>
      <c r="J45" s="226">
        <f t="shared" si="1"/>
        <v>0.38806993725887523</v>
      </c>
      <c r="K45" s="226">
        <f>+H45/P2</f>
        <v>6.322151204263029E-3</v>
      </c>
      <c r="L45" s="226">
        <f t="shared" si="2"/>
        <v>0.15022196469437143</v>
      </c>
      <c r="M45" s="225">
        <f t="shared" si="3"/>
        <v>0.87513131191972826</v>
      </c>
      <c r="N45" s="193"/>
      <c r="O45" s="164"/>
    </row>
    <row r="46" spans="2:15" ht="15.75" thickBot="1">
      <c r="B46" s="224" t="s">
        <v>350</v>
      </c>
      <c r="C46" s="223">
        <f t="shared" ref="C46:I46" si="8">+C43+C37+C35+C12+C9</f>
        <v>861074372943</v>
      </c>
      <c r="D46" s="223">
        <f t="shared" si="8"/>
        <v>906702870380.25</v>
      </c>
      <c r="E46" s="223">
        <f t="shared" si="8"/>
        <v>354193391273.38</v>
      </c>
      <c r="F46" s="223">
        <f t="shared" si="8"/>
        <v>425627850632.01984</v>
      </c>
      <c r="G46" s="223">
        <f t="shared" si="8"/>
        <v>468860371406.17993</v>
      </c>
      <c r="H46" s="223">
        <f t="shared" si="8"/>
        <v>402342778527.03998</v>
      </c>
      <c r="I46" s="223">
        <f t="shared" si="8"/>
        <v>357370781670.67004</v>
      </c>
      <c r="J46" s="222">
        <f t="shared" si="1"/>
        <v>0.44374269859574483</v>
      </c>
      <c r="K46" s="221">
        <f>+H46/P2</f>
        <v>8.6886540795544434E-2</v>
      </c>
      <c r="L46" s="220">
        <f t="shared" si="2"/>
        <v>0.13594095327571032</v>
      </c>
      <c r="M46" s="219">
        <f t="shared" si="3"/>
        <v>0.94529241432297351</v>
      </c>
    </row>
    <row r="47" spans="2:15">
      <c r="B47" s="577" t="s">
        <v>349</v>
      </c>
      <c r="C47" s="577"/>
      <c r="D47" s="577"/>
      <c r="E47" s="577"/>
      <c r="F47" s="577"/>
      <c r="G47" s="577"/>
      <c r="H47" s="577"/>
      <c r="I47" s="577"/>
      <c r="J47" s="577"/>
      <c r="K47" s="577"/>
      <c r="L47" s="577"/>
      <c r="M47" s="577"/>
    </row>
    <row r="48" spans="2:15">
      <c r="B48" s="146" t="s">
        <v>348</v>
      </c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</row>
    <row r="49" spans="2:13" ht="15.75" customHeight="1">
      <c r="B49" s="578" t="s">
        <v>238</v>
      </c>
      <c r="C49" s="578"/>
      <c r="D49" s="578"/>
      <c r="E49" s="578"/>
      <c r="F49" s="578"/>
      <c r="G49" s="578"/>
      <c r="H49" s="578"/>
      <c r="I49" s="578"/>
      <c r="J49" s="578"/>
      <c r="K49" s="578"/>
      <c r="L49" s="578"/>
      <c r="M49" s="578"/>
    </row>
    <row r="50" spans="2:13" ht="15.75" customHeight="1">
      <c r="B50" s="578" t="s">
        <v>237</v>
      </c>
      <c r="C50" s="578"/>
      <c r="D50" s="578"/>
      <c r="E50" s="578"/>
      <c r="F50" s="578"/>
      <c r="G50" s="578"/>
      <c r="H50" s="578"/>
      <c r="I50" s="578"/>
      <c r="J50" s="578"/>
      <c r="K50" s="578"/>
      <c r="L50" s="578"/>
      <c r="M50" s="578"/>
    </row>
    <row r="51" spans="2:13" ht="15.75" customHeight="1">
      <c r="B51" s="146" t="s">
        <v>236</v>
      </c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6"/>
    </row>
    <row r="52" spans="2:13" ht="15.75" customHeight="1">
      <c r="B52" s="578" t="s">
        <v>235</v>
      </c>
      <c r="C52" s="578"/>
      <c r="D52" s="578"/>
      <c r="E52" s="578"/>
      <c r="F52" s="578"/>
      <c r="G52" s="578"/>
      <c r="H52" s="578"/>
      <c r="I52" s="578"/>
      <c r="J52" s="578"/>
      <c r="K52" s="578"/>
      <c r="L52" s="578"/>
      <c r="M52" s="578"/>
    </row>
    <row r="53" spans="2:13" ht="15.75" customHeight="1">
      <c r="B53" s="578" t="s">
        <v>138</v>
      </c>
      <c r="C53" s="578"/>
      <c r="D53" s="578"/>
      <c r="E53" s="578"/>
      <c r="F53" s="578"/>
      <c r="G53" s="578"/>
      <c r="H53" s="578"/>
      <c r="I53" s="578"/>
      <c r="J53" s="578"/>
      <c r="K53" s="578"/>
      <c r="L53" s="578"/>
      <c r="M53" s="578"/>
    </row>
    <row r="54" spans="2:13">
      <c r="B54" s="578" t="s">
        <v>139</v>
      </c>
      <c r="C54" s="578"/>
      <c r="D54" s="578"/>
      <c r="E54" s="578"/>
      <c r="F54" s="578"/>
      <c r="G54" s="578"/>
      <c r="H54" s="578"/>
      <c r="I54" s="578"/>
      <c r="J54" s="578"/>
      <c r="K54" s="578"/>
      <c r="L54" s="578"/>
      <c r="M54" s="578"/>
    </row>
    <row r="55" spans="2:13" ht="15" customHeight="1">
      <c r="B55" s="560" t="s">
        <v>140</v>
      </c>
      <c r="C55" s="560"/>
      <c r="D55" s="560"/>
      <c r="E55" s="560"/>
      <c r="F55" s="560"/>
      <c r="G55" s="560"/>
      <c r="H55" s="560"/>
      <c r="I55" s="560"/>
      <c r="J55" s="560"/>
      <c r="K55" s="560"/>
      <c r="L55" s="560"/>
      <c r="M55" s="560"/>
    </row>
  </sheetData>
  <mergeCells count="14">
    <mergeCell ref="B4:M4"/>
    <mergeCell ref="B5:M5"/>
    <mergeCell ref="B6:B8"/>
    <mergeCell ref="C6:C7"/>
    <mergeCell ref="D6:D7"/>
    <mergeCell ref="B55:M55"/>
    <mergeCell ref="E6:I6"/>
    <mergeCell ref="J6:K6"/>
    <mergeCell ref="B47:M47"/>
    <mergeCell ref="B49:M49"/>
    <mergeCell ref="B50:M50"/>
    <mergeCell ref="B52:M52"/>
    <mergeCell ref="B53:M53"/>
    <mergeCell ref="B54:M5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43"/>
  <sheetViews>
    <sheetView showGridLines="0" topLeftCell="A4" workbookViewId="0">
      <selection activeCell="C15" sqref="C15"/>
    </sheetView>
  </sheetViews>
  <sheetFormatPr baseColWidth="10" defaultColWidth="11.42578125" defaultRowHeight="15"/>
  <cols>
    <col min="3" max="3" width="44.85546875" customWidth="1"/>
    <col min="4" max="4" width="15.5703125" customWidth="1"/>
    <col min="5" max="5" width="14.5703125" customWidth="1"/>
    <col min="6" max="6" width="15.42578125" customWidth="1"/>
    <col min="7" max="8" width="14.42578125" customWidth="1"/>
    <col min="9" max="10" width="11.42578125" customWidth="1"/>
    <col min="12" max="12" width="20" bestFit="1" customWidth="1"/>
    <col min="13" max="13" width="18" bestFit="1" customWidth="1"/>
    <col min="14" max="14" width="11.85546875" bestFit="1" customWidth="1"/>
    <col min="15" max="16" width="17" bestFit="1" customWidth="1"/>
  </cols>
  <sheetData>
    <row r="1" spans="3:15" ht="15.75" thickBot="1"/>
    <row r="2" spans="3:15" ht="15.75" thickBot="1">
      <c r="N2" s="188" t="s">
        <v>268</v>
      </c>
      <c r="O2" s="187">
        <v>4630668626500</v>
      </c>
    </row>
    <row r="4" spans="3:15" ht="15.75">
      <c r="C4" s="562" t="s">
        <v>417</v>
      </c>
      <c r="D4" s="562"/>
      <c r="E4" s="562"/>
      <c r="F4" s="562"/>
      <c r="G4" s="562"/>
      <c r="H4" s="562"/>
      <c r="I4" s="562"/>
      <c r="J4" s="562"/>
      <c r="K4" s="562"/>
    </row>
    <row r="5" spans="3:15" ht="16.5" thickBot="1">
      <c r="C5" s="563" t="s">
        <v>266</v>
      </c>
      <c r="D5" s="563"/>
      <c r="E5" s="563"/>
      <c r="F5" s="563"/>
      <c r="G5" s="563"/>
      <c r="H5" s="563"/>
      <c r="I5" s="563"/>
      <c r="J5" s="563"/>
      <c r="K5" s="563"/>
    </row>
    <row r="6" spans="3:15" ht="23.25" thickBot="1">
      <c r="C6" s="564" t="s">
        <v>100</v>
      </c>
      <c r="D6" s="564" t="s">
        <v>101</v>
      </c>
      <c r="E6" s="558" t="s">
        <v>103</v>
      </c>
      <c r="F6" s="559"/>
      <c r="G6" s="559"/>
      <c r="H6" s="559"/>
      <c r="I6" s="559" t="s">
        <v>103</v>
      </c>
      <c r="J6" s="561"/>
      <c r="K6" s="184" t="s">
        <v>265</v>
      </c>
    </row>
    <row r="7" spans="3:15" ht="23.25" thickBot="1">
      <c r="C7" s="565"/>
      <c r="D7" s="566"/>
      <c r="E7" s="186" t="s">
        <v>388</v>
      </c>
      <c r="F7" s="185" t="s">
        <v>261</v>
      </c>
      <c r="G7" s="185" t="s">
        <v>260</v>
      </c>
      <c r="H7" s="185" t="s">
        <v>259</v>
      </c>
      <c r="I7" s="185" t="s">
        <v>258</v>
      </c>
      <c r="J7" s="185" t="s">
        <v>108</v>
      </c>
      <c r="K7" s="184" t="s">
        <v>257</v>
      </c>
    </row>
    <row r="8" spans="3:15" ht="15.75" thickBot="1">
      <c r="C8" s="566"/>
      <c r="D8" s="181">
        <v>1</v>
      </c>
      <c r="E8" s="182">
        <v>2</v>
      </c>
      <c r="F8" s="182">
        <v>3</v>
      </c>
      <c r="G8" s="182">
        <v>4</v>
      </c>
      <c r="H8" s="182">
        <v>5</v>
      </c>
      <c r="I8" s="182" t="s">
        <v>592</v>
      </c>
      <c r="J8" s="182">
        <v>7</v>
      </c>
      <c r="K8" s="181" t="s">
        <v>593</v>
      </c>
    </row>
    <row r="9" spans="3:15">
      <c r="C9" s="254" t="s">
        <v>416</v>
      </c>
      <c r="D9" s="178">
        <f t="shared" ref="D9:H9" si="0">D10+D11+D12+D13</f>
        <v>165745873028</v>
      </c>
      <c r="E9" s="178">
        <f t="shared" si="0"/>
        <v>65256720664.559975</v>
      </c>
      <c r="F9" s="178">
        <f t="shared" si="0"/>
        <v>81889292752.999985</v>
      </c>
      <c r="G9" s="178">
        <f t="shared" si="0"/>
        <v>78244614399.220032</v>
      </c>
      <c r="H9" s="178">
        <f t="shared" si="0"/>
        <v>76071665734.730011</v>
      </c>
      <c r="I9" s="177">
        <f>+G9/D9</f>
        <v>0.47207579271673272</v>
      </c>
      <c r="J9" s="177">
        <f t="shared" ref="J9:J35" si="1">G9/$O$2</f>
        <v>1.6897044619312285E-2</v>
      </c>
      <c r="K9" s="175">
        <f t="shared" ref="K9:K35" si="2">+G9/E9 -1</f>
        <v>0.19902768025107953</v>
      </c>
    </row>
    <row r="10" spans="3:15">
      <c r="C10" s="250" t="s">
        <v>415</v>
      </c>
      <c r="D10" s="249">
        <v>82639750289</v>
      </c>
      <c r="E10" s="249">
        <v>31445040822.019951</v>
      </c>
      <c r="F10" s="249">
        <v>40471718056.93</v>
      </c>
      <c r="G10" s="249">
        <v>38775536707.580017</v>
      </c>
      <c r="H10" s="249">
        <v>37647079965.240005</v>
      </c>
      <c r="I10" s="236">
        <f>+G10/D10</f>
        <v>0.46921168774080074</v>
      </c>
      <c r="J10" s="236">
        <f t="shared" si="1"/>
        <v>8.3736366894574671E-3</v>
      </c>
      <c r="K10" s="248">
        <f t="shared" si="2"/>
        <v>0.23312088946078768</v>
      </c>
      <c r="L10" s="193"/>
    </row>
    <row r="11" spans="3:15">
      <c r="C11" s="250" t="s">
        <v>414</v>
      </c>
      <c r="D11" s="249">
        <v>10210395233</v>
      </c>
      <c r="E11" s="249">
        <v>4352692278.0999966</v>
      </c>
      <c r="F11" s="249">
        <v>5527372661.5299988</v>
      </c>
      <c r="G11" s="249">
        <v>4659967797.3299961</v>
      </c>
      <c r="H11" s="249">
        <v>4504897253.6999998</v>
      </c>
      <c r="I11" s="236">
        <f>+G11/D11</f>
        <v>0.45639445790198002</v>
      </c>
      <c r="J11" s="236">
        <f t="shared" si="1"/>
        <v>1.0063272009278154E-3</v>
      </c>
      <c r="K11" s="248">
        <f t="shared" si="2"/>
        <v>7.0594358525186029E-2</v>
      </c>
      <c r="L11" s="193"/>
    </row>
    <row r="12" spans="3:15">
      <c r="C12" s="250" t="s">
        <v>413</v>
      </c>
      <c r="D12" s="249">
        <v>30554710992</v>
      </c>
      <c r="E12" s="249">
        <v>11294186018.610022</v>
      </c>
      <c r="F12" s="249">
        <v>13397598278.799997</v>
      </c>
      <c r="G12" s="249">
        <v>12669016477.000006</v>
      </c>
      <c r="H12" s="249">
        <v>12115320904.600012</v>
      </c>
      <c r="I12" s="236">
        <f>+G12/D12</f>
        <v>0.41463381801637972</v>
      </c>
      <c r="J12" s="236">
        <f t="shared" si="1"/>
        <v>2.7358935607049977E-3</v>
      </c>
      <c r="K12" s="248">
        <f t="shared" si="2"/>
        <v>0.12172904325505218</v>
      </c>
      <c r="L12" s="193"/>
    </row>
    <row r="13" spans="3:15">
      <c r="C13" s="250" t="s">
        <v>412</v>
      </c>
      <c r="D13" s="249">
        <v>42341016514</v>
      </c>
      <c r="E13" s="249">
        <v>18164801545.830002</v>
      </c>
      <c r="F13" s="249">
        <v>22492603755.739994</v>
      </c>
      <c r="G13" s="249">
        <v>22140093417.310005</v>
      </c>
      <c r="H13" s="249">
        <v>21804367611.190002</v>
      </c>
      <c r="I13" s="236">
        <f>+G13/D13</f>
        <v>0.52289943039013753</v>
      </c>
      <c r="J13" s="236">
        <f t="shared" si="1"/>
        <v>4.7811871682220024E-3</v>
      </c>
      <c r="K13" s="248">
        <f t="shared" si="2"/>
        <v>0.21884587406310474</v>
      </c>
      <c r="L13" s="193"/>
    </row>
    <row r="14" spans="3:15">
      <c r="C14" s="251" t="s">
        <v>411</v>
      </c>
      <c r="D14" s="169">
        <f t="shared" ref="D14:H14" si="3">D15+D16+D17+D18+D19+D20+D21+D22+D23</f>
        <v>117031607460</v>
      </c>
      <c r="E14" s="169">
        <f t="shared" si="3"/>
        <v>47244430260.889992</v>
      </c>
      <c r="F14" s="169">
        <f t="shared" si="3"/>
        <v>48729416849.170013</v>
      </c>
      <c r="G14" s="169">
        <f t="shared" si="3"/>
        <v>47711883076.669998</v>
      </c>
      <c r="H14" s="169">
        <f t="shared" si="3"/>
        <v>44230679233.710014</v>
      </c>
      <c r="I14" s="168">
        <f>+G14/D14</f>
        <v>0.40768373700222266</v>
      </c>
      <c r="J14" s="168">
        <f t="shared" si="1"/>
        <v>1.0303454409073553E-2</v>
      </c>
      <c r="K14" s="168">
        <f t="shared" si="2"/>
        <v>9.8943476130131103E-3</v>
      </c>
    </row>
    <row r="15" spans="3:15">
      <c r="C15" s="250" t="s">
        <v>410</v>
      </c>
      <c r="D15" s="249">
        <v>8526479400</v>
      </c>
      <c r="E15" s="249">
        <v>3085762535.1100006</v>
      </c>
      <c r="F15" s="249">
        <v>3448216478.8699989</v>
      </c>
      <c r="G15" s="249">
        <v>3420426306.1999998</v>
      </c>
      <c r="H15" s="249">
        <v>3334670083.9899974</v>
      </c>
      <c r="I15" s="236">
        <f>+G15/D15</f>
        <v>0.40115341229816376</v>
      </c>
      <c r="J15" s="236">
        <f t="shared" si="1"/>
        <v>7.3864631267844827E-4</v>
      </c>
      <c r="K15" s="248">
        <f t="shared" si="2"/>
        <v>0.10845415591192564</v>
      </c>
      <c r="L15" s="193"/>
    </row>
    <row r="16" spans="3:15">
      <c r="C16" s="250" t="s">
        <v>409</v>
      </c>
      <c r="D16" s="249">
        <v>13017780057</v>
      </c>
      <c r="E16" s="249">
        <v>5197531128.739996</v>
      </c>
      <c r="F16" s="249">
        <v>5685611649.340004</v>
      </c>
      <c r="G16" s="249">
        <v>5673266486.5600033</v>
      </c>
      <c r="H16" s="249">
        <v>5345832956.2199993</v>
      </c>
      <c r="I16" s="236">
        <f>+G16/D16</f>
        <v>0.43580905974128359</v>
      </c>
      <c r="J16" s="236">
        <f t="shared" si="1"/>
        <v>1.2251506087249499E-3</v>
      </c>
      <c r="K16" s="248">
        <f t="shared" si="2"/>
        <v>9.1531026180758479E-2</v>
      </c>
      <c r="L16" s="193"/>
    </row>
    <row r="17" spans="3:13">
      <c r="C17" s="250" t="s">
        <v>408</v>
      </c>
      <c r="D17" s="249">
        <v>9541446341</v>
      </c>
      <c r="E17" s="249">
        <v>3816555057.7400012</v>
      </c>
      <c r="F17" s="249">
        <v>3421623472.3600006</v>
      </c>
      <c r="G17" s="249">
        <v>3421623472.3599997</v>
      </c>
      <c r="H17" s="249">
        <v>2500654397.3899999</v>
      </c>
      <c r="I17" s="236">
        <f>+G17/D17</f>
        <v>0.35860637371685866</v>
      </c>
      <c r="J17" s="236">
        <f t="shared" si="1"/>
        <v>7.3890484254887537E-4</v>
      </c>
      <c r="K17" s="248">
        <f t="shared" si="2"/>
        <v>-0.10347855052662669</v>
      </c>
      <c r="L17" s="193"/>
    </row>
    <row r="18" spans="3:13">
      <c r="C18" s="250" t="s">
        <v>407</v>
      </c>
      <c r="D18" s="249">
        <v>33617495963</v>
      </c>
      <c r="E18" s="249">
        <v>15350696905.529991</v>
      </c>
      <c r="F18" s="249">
        <v>18045619987.91</v>
      </c>
      <c r="G18" s="249">
        <v>18033417902.919991</v>
      </c>
      <c r="H18" s="249">
        <v>17958618858.960007</v>
      </c>
      <c r="I18" s="236">
        <f>+G18/D18</f>
        <v>0.53642954022417033</v>
      </c>
      <c r="J18" s="236">
        <f t="shared" si="1"/>
        <v>3.8943442853414012E-3</v>
      </c>
      <c r="K18" s="248">
        <f t="shared" si="2"/>
        <v>0.17476216317081783</v>
      </c>
      <c r="L18" s="193"/>
    </row>
    <row r="19" spans="3:13">
      <c r="C19" s="250" t="s">
        <v>406</v>
      </c>
      <c r="D19" s="249">
        <v>210848821</v>
      </c>
      <c r="E19" s="249">
        <v>165686969.03999999</v>
      </c>
      <c r="F19" s="249">
        <v>76166553.649999991</v>
      </c>
      <c r="G19" s="249">
        <v>67670587.610000014</v>
      </c>
      <c r="H19" s="249">
        <v>65883581.529999986</v>
      </c>
      <c r="I19" s="236">
        <f>+G19/D19</f>
        <v>0.32094363766919054</v>
      </c>
      <c r="J19" s="236">
        <f t="shared" si="1"/>
        <v>1.4613567298411396E-5</v>
      </c>
      <c r="K19" s="248">
        <f t="shared" si="2"/>
        <v>-0.59157568032001939</v>
      </c>
      <c r="L19" s="193"/>
    </row>
    <row r="20" spans="3:13">
      <c r="C20" s="250" t="s">
        <v>405</v>
      </c>
      <c r="D20" s="249">
        <v>40823865484</v>
      </c>
      <c r="E20" s="249">
        <v>16463507198.450006</v>
      </c>
      <c r="F20" s="249">
        <v>13952698390.830011</v>
      </c>
      <c r="G20" s="249">
        <v>13697684158.900007</v>
      </c>
      <c r="H20" s="249">
        <v>12254267773.450014</v>
      </c>
      <c r="I20" s="236">
        <f>+G20/D20</f>
        <v>0.3355312878019478</v>
      </c>
      <c r="J20" s="236">
        <f t="shared" si="1"/>
        <v>2.958035926067362E-3</v>
      </c>
      <c r="K20" s="248">
        <f t="shared" si="2"/>
        <v>-0.16799719562854709</v>
      </c>
      <c r="L20" s="193"/>
    </row>
    <row r="21" spans="3:13">
      <c r="C21" s="250" t="s">
        <v>404</v>
      </c>
      <c r="D21" s="249">
        <v>1512285527</v>
      </c>
      <c r="E21" s="249">
        <v>455891048.47000015</v>
      </c>
      <c r="F21" s="249">
        <v>388481113.90000021</v>
      </c>
      <c r="G21" s="249">
        <v>387015507.45000023</v>
      </c>
      <c r="H21" s="249">
        <v>374435425.18000007</v>
      </c>
      <c r="I21" s="236">
        <f>+G21/D21</f>
        <v>0.25591431018833011</v>
      </c>
      <c r="J21" s="236">
        <f t="shared" si="1"/>
        <v>8.3576593072374157E-5</v>
      </c>
      <c r="K21" s="248">
        <f t="shared" si="2"/>
        <v>-0.15107895022538975</v>
      </c>
      <c r="L21" s="193"/>
    </row>
    <row r="22" spans="3:13">
      <c r="C22" s="250" t="s">
        <v>403</v>
      </c>
      <c r="D22" s="249">
        <v>313858704</v>
      </c>
      <c r="E22" s="249">
        <v>371211201.99000001</v>
      </c>
      <c r="F22" s="249">
        <v>157179622.01999998</v>
      </c>
      <c r="G22" s="249">
        <v>157179622.02000001</v>
      </c>
      <c r="H22" s="249">
        <v>157179622.01999998</v>
      </c>
      <c r="I22" s="236">
        <f>+G22/D22</f>
        <v>0.50079739709879134</v>
      </c>
      <c r="J22" s="236">
        <f t="shared" si="1"/>
        <v>3.3943180714876836E-5</v>
      </c>
      <c r="K22" s="248">
        <f t="shared" si="2"/>
        <v>-0.5765762962502563</v>
      </c>
      <c r="L22" s="193"/>
    </row>
    <row r="23" spans="3:13">
      <c r="C23" s="250" t="s">
        <v>402</v>
      </c>
      <c r="D23" s="249">
        <v>9467547163</v>
      </c>
      <c r="E23" s="249">
        <v>2337588215.8200021</v>
      </c>
      <c r="F23" s="249">
        <v>3553819580.2900009</v>
      </c>
      <c r="G23" s="249">
        <v>2853599032.6500001</v>
      </c>
      <c r="H23" s="249">
        <v>2239136534.9700007</v>
      </c>
      <c r="I23" s="236">
        <f>+G23/D23</f>
        <v>0.30140848347733762</v>
      </c>
      <c r="J23" s="236">
        <f t="shared" si="1"/>
        <v>6.1623909262685397E-4</v>
      </c>
      <c r="K23" s="248">
        <f t="shared" si="2"/>
        <v>0.22074495984271847</v>
      </c>
      <c r="L23" s="193"/>
    </row>
    <row r="24" spans="3:13">
      <c r="C24" s="251" t="s">
        <v>401</v>
      </c>
      <c r="D24" s="169">
        <f t="shared" ref="D24:H24" si="4">D25+D26</f>
        <v>8024257113</v>
      </c>
      <c r="E24" s="169">
        <f t="shared" si="4"/>
        <v>1666460257.750001</v>
      </c>
      <c r="F24" s="169">
        <f t="shared" si="4"/>
        <v>2519887428.79</v>
      </c>
      <c r="G24" s="169">
        <f t="shared" si="4"/>
        <v>2105735829.1800008</v>
      </c>
      <c r="H24" s="169">
        <f t="shared" si="4"/>
        <v>1808346200.1799998</v>
      </c>
      <c r="I24" s="168">
        <f>+G24/D24</f>
        <v>0.26242128081470922</v>
      </c>
      <c r="J24" s="168">
        <f t="shared" si="1"/>
        <v>4.5473688553948198E-4</v>
      </c>
      <c r="K24" s="168">
        <f t="shared" si="2"/>
        <v>0.26359798824311298</v>
      </c>
    </row>
    <row r="25" spans="3:13">
      <c r="C25" s="250" t="s">
        <v>400</v>
      </c>
      <c r="D25" s="249">
        <v>1797762699</v>
      </c>
      <c r="E25" s="249">
        <v>124199401.70999999</v>
      </c>
      <c r="F25" s="249">
        <v>646702223.38</v>
      </c>
      <c r="G25" s="249">
        <v>622670896.63</v>
      </c>
      <c r="H25" s="249">
        <v>566294694.9799999</v>
      </c>
      <c r="I25" s="236">
        <f>+G25/D25</f>
        <v>0.34635878082038235</v>
      </c>
      <c r="J25" s="236">
        <f t="shared" si="1"/>
        <v>1.3446673620017452E-4</v>
      </c>
      <c r="K25" s="248">
        <f t="shared" si="2"/>
        <v>4.0134774246651244</v>
      </c>
      <c r="L25" s="193"/>
    </row>
    <row r="26" spans="3:13" ht="24.75">
      <c r="C26" s="238" t="s">
        <v>399</v>
      </c>
      <c r="D26" s="249">
        <v>6226494414</v>
      </c>
      <c r="E26" s="249">
        <v>1542260856.0400009</v>
      </c>
      <c r="F26" s="249">
        <v>1873185205.4099998</v>
      </c>
      <c r="G26" s="249">
        <v>1483064932.5500007</v>
      </c>
      <c r="H26" s="249">
        <v>1242051505.2</v>
      </c>
      <c r="I26" s="236">
        <f>+G26/D26</f>
        <v>0.2381861821341065</v>
      </c>
      <c r="J26" s="236">
        <f t="shared" si="1"/>
        <v>3.2027014933930746E-4</v>
      </c>
      <c r="K26" s="248">
        <f t="shared" si="2"/>
        <v>-3.83825623649654E-2</v>
      </c>
      <c r="L26" s="193"/>
    </row>
    <row r="27" spans="3:13">
      <c r="C27" s="251" t="s">
        <v>398</v>
      </c>
      <c r="D27" s="169">
        <f t="shared" ref="D27:H27" si="5">D28+D29+D30+D31+D32</f>
        <v>403121855829</v>
      </c>
      <c r="E27" s="169">
        <f t="shared" si="5"/>
        <v>164783231234.94</v>
      </c>
      <c r="F27" s="169">
        <f t="shared" si="5"/>
        <v>260318169169.46985</v>
      </c>
      <c r="G27" s="169">
        <f t="shared" si="5"/>
        <v>199027835320.93008</v>
      </c>
      <c r="H27" s="169">
        <f t="shared" si="5"/>
        <v>191337269434.20996</v>
      </c>
      <c r="I27" s="168">
        <f>+G27/D27</f>
        <v>0.4937163104482124</v>
      </c>
      <c r="J27" s="168">
        <f t="shared" si="1"/>
        <v>4.2980366632574478E-2</v>
      </c>
      <c r="K27" s="168">
        <f t="shared" si="2"/>
        <v>0.2078160734520722</v>
      </c>
      <c r="L27" s="193"/>
      <c r="M27" s="253"/>
    </row>
    <row r="28" spans="3:13">
      <c r="C28" s="250" t="s">
        <v>397</v>
      </c>
      <c r="D28" s="249">
        <v>17498546040</v>
      </c>
      <c r="E28" s="249">
        <v>7422485575.7699966</v>
      </c>
      <c r="F28" s="249">
        <v>8132684103.3600006</v>
      </c>
      <c r="G28" s="249">
        <v>8121678293.0099993</v>
      </c>
      <c r="H28" s="249">
        <v>7766850938.7000008</v>
      </c>
      <c r="I28" s="236">
        <f>+G28/D28</f>
        <v>0.46413446434032979</v>
      </c>
      <c r="J28" s="236">
        <f t="shared" si="1"/>
        <v>1.7538888977138081E-3</v>
      </c>
      <c r="K28" s="248">
        <f t="shared" si="2"/>
        <v>9.4199269247817963E-2</v>
      </c>
      <c r="M28" s="252"/>
    </row>
    <row r="29" spans="3:13">
      <c r="C29" s="250" t="s">
        <v>396</v>
      </c>
      <c r="D29" s="249">
        <v>87035165912</v>
      </c>
      <c r="E29" s="249">
        <v>32712554957.410019</v>
      </c>
      <c r="F29" s="249">
        <v>39801877702.85997</v>
      </c>
      <c r="G29" s="249">
        <v>38750234403.330017</v>
      </c>
      <c r="H29" s="249">
        <v>37069788676.240028</v>
      </c>
      <c r="I29" s="236">
        <f>+G29/D29</f>
        <v>0.44522503056419538</v>
      </c>
      <c r="J29" s="236">
        <f t="shared" si="1"/>
        <v>8.3681726180045452E-3</v>
      </c>
      <c r="K29" s="248">
        <f t="shared" si="2"/>
        <v>0.18456765158761623</v>
      </c>
    </row>
    <row r="30" spans="3:13" ht="24.75">
      <c r="C30" s="238" t="s">
        <v>395</v>
      </c>
      <c r="D30" s="249">
        <v>6938515350</v>
      </c>
      <c r="E30" s="249">
        <v>2891068140.6999989</v>
      </c>
      <c r="F30" s="249">
        <v>2626558008.4500027</v>
      </c>
      <c r="G30" s="249">
        <v>2487067896.6499996</v>
      </c>
      <c r="H30" s="249">
        <v>2365894251.6700015</v>
      </c>
      <c r="I30" s="236">
        <f>+G30/D30</f>
        <v>0.35844381271708214</v>
      </c>
      <c r="J30" s="236">
        <f t="shared" si="1"/>
        <v>5.3708613102160176E-4</v>
      </c>
      <c r="K30" s="248">
        <f t="shared" si="2"/>
        <v>-0.13974082394065634</v>
      </c>
    </row>
    <row r="31" spans="3:13">
      <c r="C31" s="250" t="s">
        <v>394</v>
      </c>
      <c r="D31" s="249">
        <v>200758240108</v>
      </c>
      <c r="E31" s="249">
        <v>93346994121.269974</v>
      </c>
      <c r="F31" s="249">
        <v>144172192524.07983</v>
      </c>
      <c r="G31" s="249">
        <v>96044804262.390106</v>
      </c>
      <c r="H31" s="249">
        <v>92113149572.689941</v>
      </c>
      <c r="I31" s="236">
        <f>+G31/D31</f>
        <v>0.47841027203028774</v>
      </c>
      <c r="J31" s="236">
        <f t="shared" si="1"/>
        <v>2.0741022951362358E-2</v>
      </c>
      <c r="K31" s="248">
        <f t="shared" si="2"/>
        <v>2.8900878560859988E-2</v>
      </c>
    </row>
    <row r="32" spans="3:13">
      <c r="C32" s="250" t="s">
        <v>393</v>
      </c>
      <c r="D32" s="249">
        <v>90891388419</v>
      </c>
      <c r="E32" s="249">
        <v>28410128439.790012</v>
      </c>
      <c r="F32" s="249">
        <v>65584856830.720032</v>
      </c>
      <c r="G32" s="249">
        <v>53624050465.54995</v>
      </c>
      <c r="H32" s="249">
        <v>52021585994.909973</v>
      </c>
      <c r="I32" s="236">
        <f>+G32/D32</f>
        <v>0.58997944027819849</v>
      </c>
      <c r="J32" s="236">
        <f t="shared" si="1"/>
        <v>1.158019603447216E-2</v>
      </c>
      <c r="K32" s="248">
        <f t="shared" si="2"/>
        <v>0.88749764293379241</v>
      </c>
    </row>
    <row r="33" spans="3:11">
      <c r="C33" s="251" t="s">
        <v>392</v>
      </c>
      <c r="D33" s="169">
        <f t="shared" ref="D33:H33" si="6">D34</f>
        <v>167150779513</v>
      </c>
      <c r="E33" s="169">
        <f t="shared" si="6"/>
        <v>75242548855.560043</v>
      </c>
      <c r="F33" s="169">
        <f t="shared" si="6"/>
        <v>75403605205.749985</v>
      </c>
      <c r="G33" s="169">
        <f t="shared" si="6"/>
        <v>75252709901.039993</v>
      </c>
      <c r="H33" s="169">
        <f t="shared" si="6"/>
        <v>43922821067.840004</v>
      </c>
      <c r="I33" s="168">
        <f>+G33/D33</f>
        <v>0.45020854895377427</v>
      </c>
      <c r="J33" s="168">
        <f t="shared" si="1"/>
        <v>1.625093824904467E-2</v>
      </c>
      <c r="K33" s="168">
        <f t="shared" si="2"/>
        <v>1.3504387656326777E-4</v>
      </c>
    </row>
    <row r="34" spans="3:11" ht="15.75" thickBot="1">
      <c r="C34" s="250" t="s">
        <v>391</v>
      </c>
      <c r="D34" s="249">
        <v>167150779513</v>
      </c>
      <c r="E34" s="249">
        <v>75242548855.560043</v>
      </c>
      <c r="F34" s="249">
        <v>75403605205.749985</v>
      </c>
      <c r="G34" s="249">
        <v>75252709901.039993</v>
      </c>
      <c r="H34" s="249">
        <v>43922821067.840004</v>
      </c>
      <c r="I34" s="236">
        <f>+G34/D34</f>
        <v>0.45020854895377427</v>
      </c>
      <c r="J34" s="236">
        <f t="shared" si="1"/>
        <v>1.625093824904467E-2</v>
      </c>
      <c r="K34" s="248">
        <f t="shared" si="2"/>
        <v>1.3504387656326777E-4</v>
      </c>
    </row>
    <row r="35" spans="3:11" ht="15.75" thickBot="1">
      <c r="C35" s="247" t="s">
        <v>240</v>
      </c>
      <c r="D35" s="246">
        <f t="shared" ref="D35:H35" si="7">D9+D14+D24+D27+D33</f>
        <v>861074372943</v>
      </c>
      <c r="E35" s="246">
        <f t="shared" si="7"/>
        <v>354193391273.70001</v>
      </c>
      <c r="F35" s="246">
        <f t="shared" si="7"/>
        <v>468860371406.17981</v>
      </c>
      <c r="G35" s="246">
        <f t="shared" si="7"/>
        <v>402342778527.0401</v>
      </c>
      <c r="H35" s="246">
        <f t="shared" si="7"/>
        <v>357370781670.66998</v>
      </c>
      <c r="I35" s="245">
        <f>+G35/D35</f>
        <v>0.46725670995398877</v>
      </c>
      <c r="J35" s="245">
        <f t="shared" si="1"/>
        <v>8.6886540795544462E-2</v>
      </c>
      <c r="K35" s="244">
        <f t="shared" si="2"/>
        <v>0.13594095327468447</v>
      </c>
    </row>
    <row r="36" spans="3:11">
      <c r="C36" s="577" t="s">
        <v>239</v>
      </c>
      <c r="D36" s="577"/>
      <c r="E36" s="577"/>
      <c r="F36" s="577"/>
      <c r="G36" s="577"/>
      <c r="H36" s="577"/>
      <c r="I36" s="577"/>
      <c r="J36" s="577"/>
      <c r="K36" s="577"/>
    </row>
    <row r="37" spans="3:11">
      <c r="C37" s="578" t="s">
        <v>238</v>
      </c>
      <c r="D37" s="578"/>
      <c r="E37" s="578"/>
      <c r="F37" s="578"/>
      <c r="G37" s="578"/>
      <c r="H37" s="578"/>
      <c r="I37" s="578"/>
      <c r="J37" s="578"/>
      <c r="K37" s="578"/>
    </row>
    <row r="38" spans="3:11">
      <c r="C38" s="578" t="s">
        <v>390</v>
      </c>
      <c r="D38" s="578"/>
      <c r="E38" s="578"/>
      <c r="F38" s="578"/>
      <c r="G38" s="578"/>
      <c r="H38" s="578"/>
      <c r="I38" s="578"/>
      <c r="J38" s="578"/>
      <c r="K38" s="578"/>
    </row>
    <row r="39" spans="3:11">
      <c r="C39" s="146" t="s">
        <v>236</v>
      </c>
      <c r="D39" s="146"/>
      <c r="E39" s="146"/>
      <c r="F39" s="146"/>
      <c r="G39" s="146"/>
      <c r="H39" s="146"/>
      <c r="I39" s="146"/>
      <c r="J39" s="146"/>
      <c r="K39" s="146"/>
    </row>
    <row r="40" spans="3:11">
      <c r="C40" s="578" t="s">
        <v>235</v>
      </c>
      <c r="D40" s="578"/>
      <c r="E40" s="578"/>
      <c r="F40" s="578"/>
      <c r="G40" s="578"/>
      <c r="H40" s="578"/>
      <c r="I40" s="578"/>
      <c r="J40" s="578"/>
      <c r="K40" s="578"/>
    </row>
    <row r="41" spans="3:11">
      <c r="C41" s="578" t="s">
        <v>138</v>
      </c>
      <c r="D41" s="578"/>
      <c r="E41" s="578"/>
      <c r="F41" s="578"/>
      <c r="G41" s="578"/>
      <c r="H41" s="578"/>
      <c r="I41" s="578"/>
      <c r="J41" s="578"/>
      <c r="K41" s="578"/>
    </row>
    <row r="42" spans="3:11">
      <c r="C42" s="578" t="s">
        <v>139</v>
      </c>
      <c r="D42" s="578"/>
      <c r="E42" s="578"/>
      <c r="F42" s="578"/>
      <c r="G42" s="578"/>
      <c r="H42" s="578"/>
      <c r="I42" s="578"/>
      <c r="J42" s="578"/>
      <c r="K42" s="578"/>
    </row>
    <row r="43" spans="3:11">
      <c r="C43" s="560" t="s">
        <v>140</v>
      </c>
      <c r="D43" s="560"/>
      <c r="E43" s="560"/>
      <c r="F43" s="560"/>
      <c r="G43" s="560"/>
      <c r="H43" s="560"/>
      <c r="I43" s="560"/>
      <c r="J43" s="560"/>
      <c r="K43" s="560"/>
    </row>
  </sheetData>
  <mergeCells count="13">
    <mergeCell ref="C4:K4"/>
    <mergeCell ref="C5:K5"/>
    <mergeCell ref="C6:C8"/>
    <mergeCell ref="D6:D7"/>
    <mergeCell ref="C43:K43"/>
    <mergeCell ref="E6:H6"/>
    <mergeCell ref="I6:J6"/>
    <mergeCell ref="C36:K36"/>
    <mergeCell ref="C37:K37"/>
    <mergeCell ref="C38:K38"/>
    <mergeCell ref="C40:K40"/>
    <mergeCell ref="C41:K41"/>
    <mergeCell ref="C42:K42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Q60"/>
  <sheetViews>
    <sheetView showGridLines="0" topLeftCell="C1" workbookViewId="0">
      <selection activeCell="F8" sqref="F8"/>
    </sheetView>
  </sheetViews>
  <sheetFormatPr baseColWidth="10" defaultColWidth="9.140625" defaultRowHeight="15"/>
  <cols>
    <col min="4" max="5" width="19.28515625" customWidth="1"/>
    <col min="6" max="6" width="20.7109375" customWidth="1"/>
    <col min="7" max="7" width="21.85546875" customWidth="1"/>
    <col min="8" max="8" width="23.7109375" customWidth="1"/>
    <col min="11" max="11" width="15.85546875" bestFit="1" customWidth="1"/>
    <col min="12" max="12" width="17" bestFit="1" customWidth="1"/>
    <col min="13" max="13" width="17.7109375" hidden="1" customWidth="1"/>
    <col min="14" max="15" width="20.5703125" hidden="1" customWidth="1"/>
    <col min="16" max="17" width="19.85546875" hidden="1" customWidth="1"/>
  </cols>
  <sheetData>
    <row r="1" spans="3:17" ht="15.75" thickBot="1"/>
    <row r="2" spans="3:17" ht="15.75" thickBot="1">
      <c r="K2" s="188" t="s">
        <v>268</v>
      </c>
      <c r="L2" s="187">
        <v>4630668626500</v>
      </c>
    </row>
    <row r="3" spans="3:17" ht="15.75">
      <c r="D3" s="583" t="s">
        <v>564</v>
      </c>
      <c r="E3" s="583"/>
      <c r="F3" s="583"/>
      <c r="G3" s="583"/>
      <c r="H3" s="583"/>
      <c r="I3" s="376"/>
    </row>
    <row r="4" spans="3:17" ht="15.75" thickBot="1">
      <c r="D4" s="582" t="s">
        <v>212</v>
      </c>
      <c r="E4" s="582"/>
      <c r="F4" s="582"/>
      <c r="G4" s="582"/>
      <c r="H4" s="582"/>
      <c r="I4" s="424"/>
    </row>
    <row r="5" spans="3:17" ht="15.75">
      <c r="C5" s="414"/>
      <c r="D5" s="584" t="s">
        <v>100</v>
      </c>
      <c r="E5" s="580" t="s">
        <v>101</v>
      </c>
      <c r="F5" s="580" t="s">
        <v>102</v>
      </c>
      <c r="G5" s="586" t="s">
        <v>522</v>
      </c>
      <c r="H5" s="586" t="s">
        <v>521</v>
      </c>
      <c r="I5" s="423" t="s">
        <v>543</v>
      </c>
    </row>
    <row r="6" spans="3:17" ht="16.5" thickBot="1">
      <c r="C6" s="414"/>
      <c r="D6" s="585"/>
      <c r="E6" s="581"/>
      <c r="F6" s="581"/>
      <c r="G6" s="587"/>
      <c r="H6" s="587"/>
      <c r="I6" s="423"/>
    </row>
    <row r="7" spans="3:17" ht="15.75">
      <c r="C7" s="414"/>
      <c r="D7" s="448" t="s">
        <v>542</v>
      </c>
      <c r="E7" s="450">
        <v>750823351175.99133</v>
      </c>
      <c r="F7" s="439">
        <v>673107785091</v>
      </c>
      <c r="G7" s="439">
        <v>307196483429.59888</v>
      </c>
      <c r="H7" s="451">
        <v>285430830285.06995</v>
      </c>
      <c r="I7" s="423"/>
    </row>
    <row r="8" spans="3:17" ht="15.75">
      <c r="C8" s="414"/>
      <c r="D8" s="448" t="s">
        <v>541</v>
      </c>
      <c r="E8" s="450">
        <v>861074400000</v>
      </c>
      <c r="F8" s="436">
        <v>906702870379.98999</v>
      </c>
      <c r="G8" s="436">
        <v>425627850000</v>
      </c>
      <c r="H8" s="449">
        <v>402342778527.0401</v>
      </c>
      <c r="I8" s="423"/>
      <c r="N8" t="s">
        <v>540</v>
      </c>
      <c r="O8" t="s">
        <v>539</v>
      </c>
      <c r="P8" t="s">
        <v>538</v>
      </c>
      <c r="Q8" t="s">
        <v>537</v>
      </c>
    </row>
    <row r="9" spans="3:17" ht="15.75">
      <c r="C9" s="414"/>
      <c r="D9" s="448" t="s">
        <v>536</v>
      </c>
      <c r="E9" s="447">
        <v>-110251048824.00867</v>
      </c>
      <c r="F9" s="447">
        <f>F7-F8</f>
        <v>-233595085288.98999</v>
      </c>
      <c r="G9" s="447">
        <f t="shared" ref="G9:H9" si="0">G7-G8</f>
        <v>-118431366570.40112</v>
      </c>
      <c r="H9" s="447">
        <f t="shared" si="0"/>
        <v>-116911948241.97015</v>
      </c>
      <c r="I9" s="414"/>
      <c r="M9" s="444" t="s">
        <v>535</v>
      </c>
      <c r="N9" s="442">
        <v>750823351175.99133</v>
      </c>
      <c r="O9" s="442">
        <v>673107785091.96143</v>
      </c>
      <c r="P9" s="442">
        <v>307196483429.59888</v>
      </c>
      <c r="Q9" s="442">
        <v>285430830285.06995</v>
      </c>
    </row>
    <row r="10" spans="3:17" ht="16.5" thickBot="1">
      <c r="C10" s="414"/>
      <c r="D10" s="417" t="s">
        <v>518</v>
      </c>
      <c r="E10" s="446">
        <f>E9/$L$2</f>
        <v>-2.3808883277260062E-2</v>
      </c>
      <c r="F10" s="446">
        <f>F9/$L$2</f>
        <v>-5.0445217339066699E-2</v>
      </c>
      <c r="G10" s="446">
        <f t="shared" ref="G10:H10" si="1">G9/$L$2</f>
        <v>-2.5575435454969091E-2</v>
      </c>
      <c r="H10" s="446">
        <f t="shared" si="1"/>
        <v>-2.524731473397088E-2</v>
      </c>
      <c r="I10" s="423"/>
      <c r="M10" s="443" t="s">
        <v>534</v>
      </c>
      <c r="N10" s="442">
        <v>737095519078.07983</v>
      </c>
      <c r="O10" s="442">
        <v>659216880491.56897</v>
      </c>
      <c r="P10" s="442">
        <v>300524553246.52203</v>
      </c>
      <c r="Q10" s="442">
        <v>280002227496.25</v>
      </c>
    </row>
    <row r="11" spans="3:17" ht="21" customHeight="1">
      <c r="C11" s="414"/>
      <c r="D11" s="412" t="s">
        <v>133</v>
      </c>
      <c r="E11" s="412"/>
      <c r="F11" s="412"/>
      <c r="G11" s="412"/>
      <c r="H11" s="412"/>
      <c r="I11" s="413"/>
      <c r="M11" s="443" t="s">
        <v>533</v>
      </c>
      <c r="N11" s="442">
        <v>10733570772.911501</v>
      </c>
      <c r="O11" s="442">
        <v>10896643275.406925</v>
      </c>
      <c r="P11" s="442">
        <v>5172493680.7787218</v>
      </c>
      <c r="Q11" s="442">
        <v>4938415337.9700003</v>
      </c>
    </row>
    <row r="12" spans="3:17" ht="15.75" customHeight="1">
      <c r="C12" s="445"/>
      <c r="D12" s="579" t="s">
        <v>390</v>
      </c>
      <c r="E12" s="579"/>
      <c r="F12" s="579"/>
      <c r="G12" s="579"/>
      <c r="H12" s="579"/>
      <c r="I12" s="413"/>
      <c r="M12" s="443" t="s">
        <v>532</v>
      </c>
      <c r="N12" s="442">
        <v>2994261325</v>
      </c>
      <c r="O12" s="442">
        <v>2994261324.9855289</v>
      </c>
      <c r="P12" s="442">
        <v>1499436502.2980661</v>
      </c>
      <c r="Q12" s="442">
        <v>490187450.84999996</v>
      </c>
    </row>
    <row r="13" spans="3:17" ht="18" customHeight="1">
      <c r="C13" s="414"/>
      <c r="D13" s="579" t="s">
        <v>517</v>
      </c>
      <c r="E13" s="579"/>
      <c r="F13" s="579"/>
      <c r="G13" s="579"/>
      <c r="H13" s="579"/>
      <c r="I13" s="413"/>
      <c r="M13" s="444" t="s">
        <v>531</v>
      </c>
      <c r="N13" s="442">
        <v>861074400000</v>
      </c>
      <c r="O13" s="442">
        <v>907685996493.5498</v>
      </c>
      <c r="P13" s="442">
        <v>425627850000</v>
      </c>
      <c r="Q13" s="442">
        <v>402342778527.0401</v>
      </c>
    </row>
    <row r="14" spans="3:17" ht="27" customHeight="1">
      <c r="C14" s="414"/>
      <c r="D14" s="579" t="s">
        <v>516</v>
      </c>
      <c r="E14" s="579"/>
      <c r="F14" s="579"/>
      <c r="G14" s="579"/>
      <c r="H14" s="579"/>
      <c r="I14" s="413"/>
      <c r="M14" s="443" t="s">
        <v>530</v>
      </c>
      <c r="N14" s="442">
        <v>723274400000</v>
      </c>
      <c r="O14" s="442">
        <v>764453248735.05981</v>
      </c>
      <c r="P14" s="442">
        <v>352736100000</v>
      </c>
      <c r="Q14" s="442">
        <v>345306274720.19012</v>
      </c>
    </row>
    <row r="15" spans="3:17" ht="21.75" customHeight="1">
      <c r="C15" s="414"/>
      <c r="D15" s="579" t="s">
        <v>515</v>
      </c>
      <c r="E15" s="579"/>
      <c r="F15" s="579"/>
      <c r="G15" s="579"/>
      <c r="H15" s="579"/>
      <c r="I15" s="413"/>
      <c r="M15" s="443" t="s">
        <v>529</v>
      </c>
      <c r="N15" s="442">
        <v>137800000000</v>
      </c>
      <c r="O15" s="442">
        <v>143232747758.49005</v>
      </c>
      <c r="P15" s="442">
        <v>72891750000</v>
      </c>
      <c r="Q15" s="442">
        <v>57036503806.849991</v>
      </c>
    </row>
    <row r="16" spans="3:17" ht="15.6" customHeight="1">
      <c r="C16" s="414"/>
      <c r="D16" s="412" t="s">
        <v>514</v>
      </c>
      <c r="E16" s="412"/>
      <c r="F16" s="411"/>
      <c r="G16" s="411"/>
      <c r="H16" s="411"/>
      <c r="I16" s="413"/>
    </row>
    <row r="17" spans="3:14" ht="15.75">
      <c r="C17" s="414"/>
      <c r="D17" s="412" t="s">
        <v>513</v>
      </c>
      <c r="E17" s="412"/>
      <c r="F17" s="411"/>
      <c r="G17" s="411"/>
      <c r="H17" s="411"/>
      <c r="I17" s="413"/>
    </row>
    <row r="18" spans="3:14" ht="15.75">
      <c r="C18" s="414"/>
      <c r="D18" s="579" t="s">
        <v>140</v>
      </c>
      <c r="E18" s="579"/>
      <c r="F18" s="579"/>
      <c r="G18" s="579"/>
      <c r="H18" s="579"/>
      <c r="I18" s="413"/>
      <c r="M18" t="s">
        <v>528</v>
      </c>
      <c r="N18" s="253">
        <v>4918407805719.3301</v>
      </c>
    </row>
    <row r="19" spans="3:14" ht="16.5" thickBot="1">
      <c r="C19" s="414"/>
      <c r="D19" s="413"/>
      <c r="E19" s="413"/>
      <c r="F19" s="413"/>
      <c r="G19" s="413"/>
      <c r="H19" s="413"/>
      <c r="I19" s="413"/>
      <c r="M19" t="s">
        <v>527</v>
      </c>
      <c r="N19" s="253">
        <v>4558830082928.3506</v>
      </c>
    </row>
    <row r="20" spans="3:14" ht="16.5" thickBot="1">
      <c r="C20" s="414"/>
      <c r="D20" s="413"/>
      <c r="E20" s="413"/>
      <c r="F20" s="413"/>
      <c r="G20" s="413"/>
      <c r="H20" s="413"/>
      <c r="I20" s="441"/>
      <c r="K20" s="188" t="s">
        <v>268</v>
      </c>
      <c r="L20" s="187">
        <v>4630668626500</v>
      </c>
    </row>
    <row r="21" spans="3:14" ht="15.75">
      <c r="D21" s="413"/>
      <c r="E21" s="413"/>
      <c r="F21" s="413"/>
      <c r="G21" s="413"/>
      <c r="H21" s="413"/>
      <c r="I21" s="376"/>
    </row>
    <row r="22" spans="3:14" ht="15.75">
      <c r="D22" s="426"/>
      <c r="E22" s="426"/>
      <c r="F22" s="441"/>
      <c r="G22" s="441"/>
      <c r="H22" s="441"/>
      <c r="I22" s="424"/>
    </row>
    <row r="23" spans="3:14" ht="15.6" customHeight="1">
      <c r="C23" s="414"/>
      <c r="D23" s="583" t="s">
        <v>565</v>
      </c>
      <c r="E23" s="583"/>
      <c r="F23" s="583"/>
      <c r="G23" s="583"/>
      <c r="H23" s="583"/>
      <c r="I23" s="423"/>
    </row>
    <row r="24" spans="3:14" ht="16.5" thickBot="1">
      <c r="C24" s="414"/>
      <c r="D24" s="582" t="s">
        <v>212</v>
      </c>
      <c r="E24" s="582"/>
      <c r="F24" s="582"/>
      <c r="G24" s="582"/>
      <c r="H24" s="582"/>
      <c r="I24" s="423"/>
    </row>
    <row r="25" spans="3:14" ht="15.75">
      <c r="C25" s="414"/>
      <c r="D25" s="584" t="s">
        <v>100</v>
      </c>
      <c r="E25" s="580" t="s">
        <v>101</v>
      </c>
      <c r="F25" s="580" t="s">
        <v>102</v>
      </c>
      <c r="G25" s="586" t="s">
        <v>522</v>
      </c>
      <c r="H25" s="586" t="s">
        <v>521</v>
      </c>
      <c r="I25" s="423"/>
    </row>
    <row r="26" spans="3:14" ht="16.5" thickBot="1">
      <c r="C26" s="414"/>
      <c r="D26" s="585"/>
      <c r="E26" s="581"/>
      <c r="F26" s="581"/>
      <c r="G26" s="587"/>
      <c r="H26" s="587"/>
      <c r="I26" s="440"/>
    </row>
    <row r="27" spans="3:14" ht="15.75">
      <c r="C27" s="414"/>
      <c r="D27" s="438" t="s">
        <v>526</v>
      </c>
      <c r="E27" s="437">
        <v>750823351175.99133</v>
      </c>
      <c r="F27" s="434">
        <v>673107785091</v>
      </c>
      <c r="G27" s="439">
        <v>307196483429.59888</v>
      </c>
      <c r="H27" s="433">
        <v>285430830285.06995</v>
      </c>
      <c r="I27" s="423"/>
      <c r="K27" s="193"/>
    </row>
    <row r="28" spans="3:14" ht="15.75">
      <c r="C28" s="414"/>
      <c r="D28" s="438" t="s">
        <v>525</v>
      </c>
      <c r="E28" s="437">
        <v>861074400000</v>
      </c>
      <c r="F28" s="434">
        <v>906702870379.98999</v>
      </c>
      <c r="G28" s="436">
        <v>425627850000</v>
      </c>
      <c r="H28" s="435">
        <v>402342778527.0401</v>
      </c>
      <c r="I28" s="423"/>
      <c r="K28" s="193"/>
    </row>
    <row r="29" spans="3:14" ht="15.75">
      <c r="C29" s="414"/>
      <c r="D29" s="431" t="s">
        <v>454</v>
      </c>
      <c r="E29" s="430">
        <v>149993489759</v>
      </c>
      <c r="F29" s="434">
        <v>162830851208</v>
      </c>
      <c r="G29" s="434">
        <v>69782359378.380005</v>
      </c>
      <c r="H29" s="433">
        <v>75268679098.040009</v>
      </c>
      <c r="I29" s="414"/>
      <c r="K29" s="432"/>
    </row>
    <row r="30" spans="3:14" ht="15.75">
      <c r="C30" s="414"/>
      <c r="D30" s="431" t="s">
        <v>524</v>
      </c>
      <c r="E30" s="430">
        <v>711080910241</v>
      </c>
      <c r="F30" s="430">
        <f>F28-F29</f>
        <v>743872019171.98999</v>
      </c>
      <c r="G30" s="430">
        <v>355845490621.62</v>
      </c>
      <c r="H30" s="430">
        <v>327074099429.00012</v>
      </c>
      <c r="I30" s="423"/>
      <c r="K30" s="252"/>
    </row>
    <row r="31" spans="3:14" ht="15.75">
      <c r="C31" s="414"/>
      <c r="D31" s="429" t="s">
        <v>523</v>
      </c>
      <c r="E31" s="428">
        <v>39742440934.991333</v>
      </c>
      <c r="F31" s="428">
        <f>F27-(F28-F29)</f>
        <v>-70764234080.98999</v>
      </c>
      <c r="G31" s="428">
        <v>-48649007192.021118</v>
      </c>
      <c r="H31" s="428">
        <v>-41643269143.930176</v>
      </c>
      <c r="I31" s="413"/>
    </row>
    <row r="32" spans="3:14" ht="22.15" customHeight="1" thickBot="1">
      <c r="C32" s="414"/>
      <c r="D32" s="417" t="s">
        <v>518</v>
      </c>
      <c r="E32" s="415">
        <f>E31/$L$20</f>
        <v>8.5824411419890088E-3</v>
      </c>
      <c r="F32" s="415">
        <f>F31/$L$20</f>
        <v>-1.5281645003925868E-2</v>
      </c>
      <c r="G32" s="415">
        <f t="shared" ref="G32:H32" si="2">G31/$L$20</f>
        <v>-1.0505827800680162E-2</v>
      </c>
      <c r="H32" s="415">
        <f t="shared" si="2"/>
        <v>-8.9929279123143434E-3</v>
      </c>
      <c r="I32" s="413"/>
    </row>
    <row r="33" spans="3:17" ht="19.5" customHeight="1">
      <c r="C33" s="414"/>
      <c r="D33" s="412" t="s">
        <v>133</v>
      </c>
      <c r="E33" s="412"/>
      <c r="F33" s="412"/>
      <c r="G33" s="412"/>
      <c r="H33" s="412"/>
      <c r="I33" s="413"/>
    </row>
    <row r="34" spans="3:17" ht="20.45" customHeight="1">
      <c r="C34" s="414"/>
      <c r="D34" s="579" t="s">
        <v>390</v>
      </c>
      <c r="E34" s="579"/>
      <c r="F34" s="579"/>
      <c r="G34" s="579"/>
      <c r="H34" s="579"/>
      <c r="I34" s="413"/>
    </row>
    <row r="35" spans="3:17" ht="15.75" customHeight="1">
      <c r="C35" s="414"/>
      <c r="D35" s="579" t="s">
        <v>517</v>
      </c>
      <c r="E35" s="579"/>
      <c r="F35" s="579"/>
      <c r="G35" s="579"/>
      <c r="H35" s="579"/>
      <c r="I35" s="413"/>
    </row>
    <row r="36" spans="3:17" ht="24" customHeight="1">
      <c r="C36" s="414"/>
      <c r="D36" s="579" t="s">
        <v>516</v>
      </c>
      <c r="E36" s="579"/>
      <c r="F36" s="579"/>
      <c r="G36" s="579"/>
      <c r="H36" s="579"/>
      <c r="I36" s="413"/>
    </row>
    <row r="37" spans="3:17" ht="27.75" customHeight="1">
      <c r="C37" s="414"/>
      <c r="D37" s="579" t="s">
        <v>515</v>
      </c>
      <c r="E37" s="579"/>
      <c r="F37" s="579"/>
      <c r="G37" s="579"/>
      <c r="H37" s="579"/>
      <c r="I37" s="413"/>
      <c r="P37" s="253"/>
    </row>
    <row r="38" spans="3:17" ht="15.75">
      <c r="C38" s="414"/>
      <c r="D38" s="412" t="s">
        <v>514</v>
      </c>
      <c r="E38" s="412"/>
      <c r="F38" s="411"/>
      <c r="G38" s="411"/>
      <c r="H38" s="411"/>
      <c r="I38" s="413"/>
      <c r="P38" s="253"/>
    </row>
    <row r="39" spans="3:17" ht="15.75" customHeight="1">
      <c r="C39" s="414"/>
      <c r="D39" s="412" t="s">
        <v>513</v>
      </c>
      <c r="E39" s="412"/>
      <c r="F39" s="411"/>
      <c r="G39" s="411"/>
      <c r="H39" s="411"/>
      <c r="I39" s="413"/>
      <c r="P39" s="253"/>
    </row>
    <row r="40" spans="3:17" ht="15.75">
      <c r="C40" s="414"/>
      <c r="D40" s="579" t="s">
        <v>140</v>
      </c>
      <c r="E40" s="579"/>
      <c r="F40" s="579"/>
      <c r="G40" s="579"/>
      <c r="H40" s="579"/>
      <c r="I40" s="425"/>
      <c r="P40" s="253"/>
    </row>
    <row r="41" spans="3:17" ht="15.75">
      <c r="C41" s="414"/>
      <c r="D41" s="427"/>
      <c r="E41" s="427"/>
      <c r="F41" s="427"/>
      <c r="G41" s="427"/>
      <c r="H41" s="427"/>
      <c r="I41" s="425"/>
      <c r="P41" s="253"/>
    </row>
    <row r="42" spans="3:17" ht="15.75">
      <c r="C42" s="414"/>
      <c r="D42" s="427"/>
      <c r="E42" s="427"/>
      <c r="F42" s="427"/>
      <c r="G42" s="427"/>
      <c r="H42" s="427"/>
      <c r="I42" s="425"/>
      <c r="P42" s="253"/>
    </row>
    <row r="43" spans="3:17" ht="15.75">
      <c r="D43" s="413"/>
      <c r="E43" s="413"/>
      <c r="F43" s="413"/>
      <c r="G43" s="413"/>
      <c r="H43" s="413"/>
      <c r="I43" s="376"/>
      <c r="P43" s="253"/>
    </row>
    <row r="44" spans="3:17" ht="12" customHeight="1">
      <c r="D44" s="426"/>
      <c r="E44" s="426"/>
      <c r="F44" s="425"/>
      <c r="G44" s="425"/>
      <c r="H44" s="425"/>
      <c r="I44" s="424"/>
      <c r="K44" s="193"/>
      <c r="P44" s="253"/>
      <c r="Q44" s="377"/>
    </row>
    <row r="45" spans="3:17" ht="15.6" customHeight="1">
      <c r="C45" s="414"/>
      <c r="D45" s="583" t="s">
        <v>566</v>
      </c>
      <c r="E45" s="583"/>
      <c r="F45" s="583"/>
      <c r="G45" s="583"/>
      <c r="H45" s="583"/>
      <c r="I45" s="423"/>
      <c r="P45" s="253"/>
      <c r="Q45" s="377"/>
    </row>
    <row r="46" spans="3:17" ht="16.5" thickBot="1">
      <c r="C46" s="414"/>
      <c r="D46" s="582" t="s">
        <v>212</v>
      </c>
      <c r="E46" s="582"/>
      <c r="F46" s="582"/>
      <c r="G46" s="582"/>
      <c r="H46" s="582"/>
      <c r="I46" s="423"/>
    </row>
    <row r="47" spans="3:17" ht="15.75">
      <c r="C47" s="414"/>
      <c r="D47" s="584" t="s">
        <v>100</v>
      </c>
      <c r="E47" s="580" t="s">
        <v>101</v>
      </c>
      <c r="F47" s="580" t="s">
        <v>102</v>
      </c>
      <c r="G47" s="586" t="s">
        <v>522</v>
      </c>
      <c r="H47" s="586" t="s">
        <v>521</v>
      </c>
      <c r="I47" s="423"/>
      <c r="P47" s="252"/>
    </row>
    <row r="48" spans="3:17" ht="16.5" thickBot="1">
      <c r="C48" s="414"/>
      <c r="D48" s="585"/>
      <c r="E48" s="581"/>
      <c r="F48" s="581"/>
      <c r="G48" s="587"/>
      <c r="H48" s="587"/>
      <c r="I48" s="423"/>
      <c r="P48" s="252"/>
    </row>
    <row r="49" spans="3:9" ht="15.75">
      <c r="C49" s="414"/>
      <c r="D49" s="419" t="s">
        <v>520</v>
      </c>
      <c r="E49" s="418">
        <v>13821119078.079834</v>
      </c>
      <c r="F49" s="418">
        <v>-115787122787.41003</v>
      </c>
      <c r="G49" s="418">
        <v>-52211546753.477966</v>
      </c>
      <c r="H49" s="418">
        <v>-65172157390.939819</v>
      </c>
      <c r="I49" s="423"/>
    </row>
    <row r="50" spans="3:9" ht="15.75">
      <c r="C50" s="414"/>
      <c r="D50" s="422" t="s">
        <v>518</v>
      </c>
      <c r="E50" s="421">
        <v>2.8100799331865203E-3</v>
      </c>
      <c r="F50" s="421">
        <f>F49/$L$20</f>
        <v>-2.5004406949958209E-2</v>
      </c>
      <c r="G50" s="421">
        <f>G49/$L$20</f>
        <v>-1.1275163689037504E-2</v>
      </c>
      <c r="H50" s="421">
        <f>H49/$L$20</f>
        <v>-1.4074027456419164E-2</v>
      </c>
      <c r="I50" s="420"/>
    </row>
    <row r="51" spans="3:9" ht="15.75">
      <c r="C51" s="414"/>
      <c r="D51" s="419" t="s">
        <v>519</v>
      </c>
      <c r="E51" s="418">
        <v>-127066429227.0885</v>
      </c>
      <c r="F51" s="418">
        <v>-117807962501.57999</v>
      </c>
      <c r="G51" s="418">
        <v>-67719256319.221275</v>
      </c>
      <c r="H51" s="418">
        <v>-51739790851.030014</v>
      </c>
      <c r="I51" s="413"/>
    </row>
    <row r="52" spans="3:9" ht="22.9" customHeight="1" thickBot="1">
      <c r="C52" s="414"/>
      <c r="D52" s="417" t="s">
        <v>518</v>
      </c>
      <c r="E52" s="416">
        <v>-2.583487060168747E-2</v>
      </c>
      <c r="F52" s="416">
        <f>F51/$L$20</f>
        <v>-2.54408103891085E-2</v>
      </c>
      <c r="G52" s="416">
        <f>G51/$L$20</f>
        <v>-1.4624077380895542E-2</v>
      </c>
      <c r="H52" s="416">
        <f>H51/$L$20</f>
        <v>-1.1173287277551649E-2</v>
      </c>
      <c r="I52" s="413"/>
    </row>
    <row r="53" spans="3:9" ht="18.75" customHeight="1">
      <c r="C53" s="414"/>
      <c r="D53" s="412" t="s">
        <v>133</v>
      </c>
      <c r="E53" s="412"/>
      <c r="F53" s="412"/>
      <c r="G53" s="412"/>
      <c r="H53" s="412"/>
      <c r="I53" s="413"/>
    </row>
    <row r="54" spans="3:9" ht="13.5" customHeight="1">
      <c r="C54" s="414"/>
      <c r="D54" s="579" t="s">
        <v>390</v>
      </c>
      <c r="E54" s="579"/>
      <c r="F54" s="579"/>
      <c r="G54" s="579"/>
      <c r="H54" s="579"/>
      <c r="I54" s="413"/>
    </row>
    <row r="55" spans="3:9" ht="18.600000000000001" customHeight="1">
      <c r="C55" s="414"/>
      <c r="D55" s="579" t="s">
        <v>517</v>
      </c>
      <c r="E55" s="579"/>
      <c r="F55" s="579"/>
      <c r="G55" s="579"/>
      <c r="H55" s="579"/>
      <c r="I55" s="413"/>
    </row>
    <row r="56" spans="3:9" ht="24" customHeight="1">
      <c r="C56" s="414"/>
      <c r="D56" s="579" t="s">
        <v>516</v>
      </c>
      <c r="E56" s="579"/>
      <c r="F56" s="579"/>
      <c r="G56" s="579"/>
      <c r="H56" s="579"/>
      <c r="I56" s="413"/>
    </row>
    <row r="57" spans="3:9" ht="24.75" customHeight="1">
      <c r="D57" s="579" t="s">
        <v>515</v>
      </c>
      <c r="E57" s="579"/>
      <c r="F57" s="579"/>
      <c r="G57" s="579"/>
      <c r="H57" s="579"/>
    </row>
    <row r="58" spans="3:9">
      <c r="D58" s="412" t="s">
        <v>514</v>
      </c>
      <c r="E58" s="412"/>
      <c r="F58" s="411"/>
      <c r="G58" s="411"/>
      <c r="H58" s="411"/>
    </row>
    <row r="59" spans="3:9" ht="15" customHeight="1">
      <c r="D59" s="412" t="s">
        <v>513</v>
      </c>
      <c r="E59" s="412"/>
      <c r="F59" s="411"/>
      <c r="G59" s="411"/>
      <c r="H59" s="411"/>
    </row>
    <row r="60" spans="3:9">
      <c r="D60" s="579" t="s">
        <v>140</v>
      </c>
      <c r="E60" s="579"/>
      <c r="F60" s="579"/>
      <c r="G60" s="579"/>
      <c r="H60" s="579"/>
    </row>
  </sheetData>
  <mergeCells count="36">
    <mergeCell ref="D14:H14"/>
    <mergeCell ref="D13:H13"/>
    <mergeCell ref="D18:H18"/>
    <mergeCell ref="D25:D26"/>
    <mergeCell ref="F25:F26"/>
    <mergeCell ref="G25:G26"/>
    <mergeCell ref="H25:H26"/>
    <mergeCell ref="D23:H23"/>
    <mergeCell ref="D24:H24"/>
    <mergeCell ref="D3:H3"/>
    <mergeCell ref="D5:D6"/>
    <mergeCell ref="F5:F6"/>
    <mergeCell ref="G5:G6"/>
    <mergeCell ref="H5:H6"/>
    <mergeCell ref="D4:H4"/>
    <mergeCell ref="D47:D48"/>
    <mergeCell ref="F47:F48"/>
    <mergeCell ref="G47:G48"/>
    <mergeCell ref="H47:H48"/>
    <mergeCell ref="D36:H36"/>
    <mergeCell ref="D57:H57"/>
    <mergeCell ref="D60:H60"/>
    <mergeCell ref="E5:E6"/>
    <mergeCell ref="E25:E26"/>
    <mergeCell ref="E47:E48"/>
    <mergeCell ref="D12:H12"/>
    <mergeCell ref="D37:H37"/>
    <mergeCell ref="D40:H40"/>
    <mergeCell ref="D54:H54"/>
    <mergeCell ref="D55:H55"/>
    <mergeCell ref="D46:H46"/>
    <mergeCell ref="D45:H45"/>
    <mergeCell ref="D56:H56"/>
    <mergeCell ref="D15:H15"/>
    <mergeCell ref="D34:H34"/>
    <mergeCell ref="D35:H35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P36"/>
  <sheetViews>
    <sheetView showGridLines="0" tabSelected="1" workbookViewId="0">
      <selection activeCell="P18" sqref="P18"/>
    </sheetView>
  </sheetViews>
  <sheetFormatPr baseColWidth="10" defaultColWidth="11.42578125" defaultRowHeight="15"/>
  <cols>
    <col min="3" max="3" width="28.140625" customWidth="1"/>
    <col min="4" max="4" width="16.28515625" customWidth="1"/>
    <col min="5" max="5" width="24.28515625" customWidth="1"/>
    <col min="6" max="6" width="17" customWidth="1"/>
    <col min="7" max="7" width="18.5703125" customWidth="1"/>
    <col min="8" max="9" width="17.7109375" customWidth="1"/>
    <col min="13" max="14" width="16.28515625" bestFit="1" customWidth="1"/>
    <col min="16" max="16" width="17" bestFit="1" customWidth="1"/>
  </cols>
  <sheetData>
    <row r="1" spans="3:16" ht="15.75" thickBot="1"/>
    <row r="2" spans="3:16" ht="15.75" thickBot="1">
      <c r="O2" s="188" t="s">
        <v>268</v>
      </c>
      <c r="P2" s="187">
        <v>4630668626500</v>
      </c>
    </row>
    <row r="4" spans="3:16" ht="15.75">
      <c r="C4" s="562" t="s">
        <v>567</v>
      </c>
      <c r="D4" s="562"/>
      <c r="E4" s="562"/>
      <c r="F4" s="562"/>
      <c r="G4" s="562"/>
      <c r="H4" s="562"/>
      <c r="I4" s="562"/>
      <c r="J4" s="562"/>
      <c r="K4" s="562"/>
      <c r="L4" s="562"/>
    </row>
    <row r="5" spans="3:16" ht="15.75">
      <c r="C5" s="588" t="s">
        <v>453</v>
      </c>
      <c r="D5" s="588"/>
      <c r="E5" s="588"/>
      <c r="F5" s="588"/>
      <c r="G5" s="588"/>
      <c r="H5" s="588"/>
      <c r="I5" s="588"/>
      <c r="J5" s="588"/>
      <c r="K5" s="588"/>
      <c r="L5" s="588"/>
    </row>
    <row r="6" spans="3:16">
      <c r="C6" s="589" t="s">
        <v>100</v>
      </c>
      <c r="D6" s="589" t="s">
        <v>101</v>
      </c>
      <c r="E6" s="589" t="s">
        <v>102</v>
      </c>
      <c r="F6" s="589" t="s">
        <v>452</v>
      </c>
      <c r="G6" s="589" t="s">
        <v>451</v>
      </c>
      <c r="H6" s="589" t="s">
        <v>450</v>
      </c>
      <c r="I6" s="589" t="s">
        <v>449</v>
      </c>
      <c r="J6" s="589" t="s">
        <v>448</v>
      </c>
      <c r="K6" s="589" t="s">
        <v>447</v>
      </c>
      <c r="L6" s="589" t="s">
        <v>446</v>
      </c>
    </row>
    <row r="7" spans="3:16" ht="15" customHeight="1">
      <c r="C7" s="590"/>
      <c r="D7" s="591"/>
      <c r="E7" s="591"/>
      <c r="F7" s="591"/>
      <c r="G7" s="591"/>
      <c r="H7" s="591"/>
      <c r="I7" s="591"/>
      <c r="J7" s="591"/>
      <c r="K7" s="591"/>
      <c r="L7" s="591"/>
    </row>
    <row r="8" spans="3:16" ht="15.75" thickBot="1">
      <c r="C8" s="591"/>
      <c r="D8" s="277" t="s">
        <v>445</v>
      </c>
      <c r="E8" s="277" t="s">
        <v>444</v>
      </c>
      <c r="F8" s="277" t="s">
        <v>443</v>
      </c>
      <c r="G8" s="277" t="s">
        <v>442</v>
      </c>
      <c r="H8" s="277" t="s">
        <v>441</v>
      </c>
      <c r="I8" s="277" t="s">
        <v>440</v>
      </c>
      <c r="J8" s="277" t="s">
        <v>439</v>
      </c>
      <c r="K8" s="277" t="s">
        <v>438</v>
      </c>
      <c r="L8" s="277" t="s">
        <v>437</v>
      </c>
    </row>
    <row r="9" spans="3:16" ht="15.75" thickBot="1">
      <c r="C9" s="266" t="s">
        <v>436</v>
      </c>
      <c r="D9" s="265">
        <f t="shared" ref="D9:I9" si="0">+D10+D11</f>
        <v>750823351176</v>
      </c>
      <c r="E9" s="265">
        <f t="shared" si="0"/>
        <v>673107785091</v>
      </c>
      <c r="F9" s="265">
        <f t="shared" si="0"/>
        <v>333629157152.07019</v>
      </c>
      <c r="G9" s="265">
        <f t="shared" si="0"/>
        <v>285430830285.07025</v>
      </c>
      <c r="H9" s="265">
        <f t="shared" si="0"/>
        <v>285430830285.07025</v>
      </c>
      <c r="I9" s="265">
        <f t="shared" si="0"/>
        <v>285430830285.07025</v>
      </c>
      <c r="J9" s="264">
        <f>H9/$P$2</f>
        <v>6.1639226061573647E-2</v>
      </c>
      <c r="K9" s="263">
        <f t="shared" ref="K9:K15" si="1">+H9/F9 -1</f>
        <v>-0.14446677046584044</v>
      </c>
      <c r="L9" s="263">
        <f t="shared" ref="L9:L15" si="2">+H9/E9</f>
        <v>0.42404921857571709</v>
      </c>
    </row>
    <row r="10" spans="3:16">
      <c r="C10" s="259" t="s">
        <v>435</v>
      </c>
      <c r="D10" s="261">
        <v>738501386179</v>
      </c>
      <c r="E10" s="261">
        <f>659216880492+1405867101</f>
        <v>660622747593</v>
      </c>
      <c r="F10" s="261">
        <v>333320781107.88019</v>
      </c>
      <c r="G10" s="261">
        <v>280134117329.25024</v>
      </c>
      <c r="H10" s="261">
        <v>280134117329.25024</v>
      </c>
      <c r="I10" s="261">
        <v>280134117329.25024</v>
      </c>
      <c r="J10" s="260">
        <f>H10/P2</f>
        <v>6.0495392765986825E-2</v>
      </c>
      <c r="K10" s="234">
        <f t="shared" si="1"/>
        <v>-0.1595660000611121</v>
      </c>
      <c r="L10" s="234">
        <f t="shared" si="2"/>
        <v>0.42404552121453254</v>
      </c>
    </row>
    <row r="11" spans="3:16" ht="15.75" thickBot="1">
      <c r="C11" s="259" t="s">
        <v>434</v>
      </c>
      <c r="D11" s="261">
        <v>12321964997</v>
      </c>
      <c r="E11" s="261">
        <f>10896643275+1588394223</f>
        <v>12485037498</v>
      </c>
      <c r="F11" s="261">
        <v>308376044.19</v>
      </c>
      <c r="G11" s="261">
        <v>5296712955.8200006</v>
      </c>
      <c r="H11" s="261">
        <v>5296712955.8200006</v>
      </c>
      <c r="I11" s="261">
        <v>5296712955.8200006</v>
      </c>
      <c r="J11" s="260">
        <f>H11/P2</f>
        <v>1.1438332955868227E-3</v>
      </c>
      <c r="K11" s="234">
        <f t="shared" si="1"/>
        <v>16.176149236016961</v>
      </c>
      <c r="L11" s="234">
        <f t="shared" si="2"/>
        <v>0.42424485762806002</v>
      </c>
    </row>
    <row r="12" spans="3:16" ht="15.75" thickBot="1">
      <c r="C12" s="266" t="s">
        <v>433</v>
      </c>
      <c r="D12" s="265">
        <f t="shared" ref="D12:I12" si="3">+D13+D15</f>
        <v>861074372943</v>
      </c>
      <c r="E12" s="265">
        <f>+E13+E15</f>
        <v>906702870379.98999</v>
      </c>
      <c r="F12" s="265">
        <f t="shared" si="3"/>
        <v>354192921606.72003</v>
      </c>
      <c r="G12" s="265">
        <f t="shared" si="3"/>
        <v>468860371406.18011</v>
      </c>
      <c r="H12" s="265">
        <f t="shared" si="3"/>
        <v>402342778527.0401</v>
      </c>
      <c r="I12" s="265">
        <f t="shared" si="3"/>
        <v>357370781670.6701</v>
      </c>
      <c r="J12" s="264">
        <f>H12/P2</f>
        <v>8.6886540795544462E-2</v>
      </c>
      <c r="K12" s="263">
        <f t="shared" si="1"/>
        <v>0.13594245955537065</v>
      </c>
      <c r="L12" s="263">
        <f t="shared" si="2"/>
        <v>0.44374269859587223</v>
      </c>
      <c r="N12" s="193"/>
    </row>
    <row r="13" spans="3:16">
      <c r="C13" s="259" t="s">
        <v>432</v>
      </c>
      <c r="D13" s="261">
        <f>723274350010</f>
        <v>723274350010</v>
      </c>
      <c r="E13" s="261">
        <f>776409869767.41+613</f>
        <v>776409870380.41003</v>
      </c>
      <c r="F13" s="261">
        <v>305710459339.47998</v>
      </c>
      <c r="G13" s="261">
        <v>408659741860.19012</v>
      </c>
      <c r="H13" s="261">
        <v>345306274720.19006</v>
      </c>
      <c r="I13" s="261">
        <v>307832018218.6701</v>
      </c>
      <c r="J13" s="260">
        <f>H13/P2</f>
        <v>7.4569420222405994E-2</v>
      </c>
      <c r="K13" s="234">
        <f t="shared" si="1"/>
        <v>0.12952064337694247</v>
      </c>
      <c r="L13" s="234">
        <f t="shared" si="2"/>
        <v>0.44474740455193296</v>
      </c>
      <c r="N13" s="193"/>
    </row>
    <row r="14" spans="3:16">
      <c r="C14" s="276" t="s">
        <v>431</v>
      </c>
      <c r="D14" s="261">
        <v>149993489759</v>
      </c>
      <c r="E14" s="261">
        <v>162830851208</v>
      </c>
      <c r="F14" s="261">
        <v>70242548855.559982</v>
      </c>
      <c r="G14" s="261">
        <v>75419574402.749985</v>
      </c>
      <c r="H14" s="261">
        <v>75268679098.039993</v>
      </c>
      <c r="I14" s="261">
        <v>43938790264.840004</v>
      </c>
      <c r="J14" s="260">
        <f>H14/P2</f>
        <v>1.6254386821656541E-2</v>
      </c>
      <c r="K14" s="234">
        <f t="shared" si="1"/>
        <v>7.155392741819866E-2</v>
      </c>
      <c r="L14" s="234">
        <f t="shared" si="2"/>
        <v>0.46225072545921808</v>
      </c>
    </row>
    <row r="15" spans="3:16" ht="15.75" thickBot="1">
      <c r="C15" s="259" t="s">
        <v>430</v>
      </c>
      <c r="D15" s="261">
        <v>137800022933</v>
      </c>
      <c r="E15" s="261">
        <v>130292999999.57999</v>
      </c>
      <c r="F15" s="261">
        <v>48482462267.240028</v>
      </c>
      <c r="G15" s="261">
        <v>60200629545.989975</v>
      </c>
      <c r="H15" s="261">
        <v>57036503806.850014</v>
      </c>
      <c r="I15" s="261">
        <v>49538763452</v>
      </c>
      <c r="J15" s="260">
        <f>H15/P2</f>
        <v>1.231712057313847E-2</v>
      </c>
      <c r="K15" s="234">
        <f t="shared" si="1"/>
        <v>0.17643579017210964</v>
      </c>
      <c r="L15" s="234">
        <f t="shared" si="2"/>
        <v>0.43775570296972116</v>
      </c>
    </row>
    <row r="16" spans="3:16" ht="15.75" thickBot="1">
      <c r="C16" s="266" t="s">
        <v>429</v>
      </c>
      <c r="D16" s="265"/>
      <c r="E16" s="265"/>
      <c r="F16" s="265"/>
      <c r="G16" s="265"/>
      <c r="H16" s="265"/>
      <c r="I16" s="265"/>
      <c r="J16" s="264"/>
      <c r="K16" s="263"/>
      <c r="L16" s="263"/>
    </row>
    <row r="17" spans="3:15">
      <c r="C17" s="274" t="s">
        <v>428</v>
      </c>
      <c r="D17" s="270">
        <f t="shared" ref="D17:I17" si="4">+D9-D12+D14</f>
        <v>39742467992</v>
      </c>
      <c r="E17" s="275">
        <f>+E9-E12+E14</f>
        <v>-70764234080.98999</v>
      </c>
      <c r="F17" s="275">
        <f t="shared" si="4"/>
        <v>49678784400.910141</v>
      </c>
      <c r="G17" s="275">
        <f t="shared" si="4"/>
        <v>-108009966718.35988</v>
      </c>
      <c r="H17" s="275">
        <f t="shared" si="4"/>
        <v>-41643269143.929855</v>
      </c>
      <c r="I17" s="275">
        <f t="shared" si="4"/>
        <v>-28001161120.75985</v>
      </c>
      <c r="J17" s="273">
        <f>H17/P2</f>
        <v>-8.992927912314274E-3</v>
      </c>
      <c r="K17" s="256">
        <f>+H17/F17 -1</f>
        <v>-1.8382505660337158</v>
      </c>
      <c r="L17" s="256">
        <f>+H17/E17</f>
        <v>0.58847904855818756</v>
      </c>
    </row>
    <row r="18" spans="3:15">
      <c r="C18" s="274" t="s">
        <v>427</v>
      </c>
      <c r="D18" s="270">
        <f t="shared" ref="D18:I18" si="5">+D10-D13</f>
        <v>15227036169</v>
      </c>
      <c r="E18" s="270">
        <f>+E10-E13</f>
        <v>-115787122787.41003</v>
      </c>
      <c r="F18" s="270">
        <f t="shared" si="5"/>
        <v>27610321768.400208</v>
      </c>
      <c r="G18" s="270">
        <f t="shared" si="5"/>
        <v>-128525624530.93988</v>
      </c>
      <c r="H18" s="270">
        <f>+H10-H13</f>
        <v>-65172157390.939819</v>
      </c>
      <c r="I18" s="270">
        <f t="shared" si="5"/>
        <v>-27697900889.419861</v>
      </c>
      <c r="J18" s="273">
        <f>H18/P2</f>
        <v>-1.4074027456419164E-2</v>
      </c>
      <c r="K18" s="256">
        <f>+H18/F18 -1</f>
        <v>-3.360427304600587</v>
      </c>
      <c r="L18" s="256">
        <f>+H18/E18</f>
        <v>0.5628618780915613</v>
      </c>
    </row>
    <row r="19" spans="3:15" ht="15.75" thickBot="1">
      <c r="C19" s="274" t="s">
        <v>426</v>
      </c>
      <c r="D19" s="270">
        <f t="shared" ref="D19:I19" si="6">+D11-D15</f>
        <v>-125478057936</v>
      </c>
      <c r="E19" s="270">
        <f>+E11-E15</f>
        <v>-117807962501.57999</v>
      </c>
      <c r="F19" s="270">
        <f t="shared" si="6"/>
        <v>-48174086223.050026</v>
      </c>
      <c r="G19" s="270">
        <f t="shared" si="6"/>
        <v>-54903916590.169975</v>
      </c>
      <c r="H19" s="270">
        <f t="shared" si="6"/>
        <v>-51739790851.030014</v>
      </c>
      <c r="I19" s="270">
        <f t="shared" si="6"/>
        <v>-44242050496.18</v>
      </c>
      <c r="J19" s="273">
        <f>H19/P2</f>
        <v>-1.1173287277551649E-2</v>
      </c>
      <c r="K19" s="256">
        <f>+H19/F19 -1</f>
        <v>7.4017068252638651E-2</v>
      </c>
      <c r="L19" s="256">
        <f>+H19/E19</f>
        <v>0.43918755364550255</v>
      </c>
    </row>
    <row r="20" spans="3:15" ht="15.75" thickBot="1">
      <c r="C20" s="247" t="s">
        <v>425</v>
      </c>
      <c r="D20" s="272">
        <f t="shared" ref="D20:I20" si="7">+D9-D12</f>
        <v>-110251021767</v>
      </c>
      <c r="E20" s="272">
        <f>+E9-E12</f>
        <v>-233595085288.98999</v>
      </c>
      <c r="F20" s="272">
        <f t="shared" si="7"/>
        <v>-20563764454.649841</v>
      </c>
      <c r="G20" s="272">
        <f t="shared" si="7"/>
        <v>-183429541121.10986</v>
      </c>
      <c r="H20" s="272">
        <f t="shared" si="7"/>
        <v>-116911948241.96985</v>
      </c>
      <c r="I20" s="272">
        <f t="shared" si="7"/>
        <v>-71939951385.599854</v>
      </c>
      <c r="J20" s="255">
        <f>H20/P2</f>
        <v>-2.5247314733970815E-2</v>
      </c>
      <c r="K20" s="244">
        <f>+H20/F20 -1</f>
        <v>4.6853378426795746</v>
      </c>
      <c r="L20" s="244">
        <f>+H20/E20</f>
        <v>0.50048976029325842</v>
      </c>
    </row>
    <row r="21" spans="3:15" ht="15.75" thickBot="1">
      <c r="C21" s="271"/>
      <c r="D21" s="270"/>
      <c r="E21" s="270"/>
      <c r="F21" s="270"/>
      <c r="G21" s="270"/>
      <c r="H21" s="270"/>
      <c r="I21" s="270"/>
      <c r="J21" s="269"/>
      <c r="K21" s="268"/>
      <c r="L21" s="268"/>
    </row>
    <row r="22" spans="3:15" ht="15.75" thickBot="1">
      <c r="C22" s="266" t="s">
        <v>424</v>
      </c>
      <c r="D22" s="265">
        <f t="shared" ref="D22:I22" si="8">+D23+D24</f>
        <v>246295821767</v>
      </c>
      <c r="E22" s="265">
        <f t="shared" si="8"/>
        <v>397204470575</v>
      </c>
      <c r="F22" s="265">
        <f t="shared" si="8"/>
        <v>194054760140.87</v>
      </c>
      <c r="G22" s="265">
        <f t="shared" si="8"/>
        <v>214218974819.10001</v>
      </c>
      <c r="H22" s="265">
        <f t="shared" si="8"/>
        <v>214218974819.10001</v>
      </c>
      <c r="I22" s="265">
        <f t="shared" si="8"/>
        <v>214218974819.10001</v>
      </c>
      <c r="J22" s="264">
        <f>H22/P2</f>
        <v>4.6260916532266147E-2</v>
      </c>
      <c r="K22" s="263">
        <f t="shared" ref="K22:K28" si="9">+H22/F22 -1</f>
        <v>0.10390992039356428</v>
      </c>
      <c r="L22" s="263">
        <f t="shared" ref="L22:L28" si="10">+H22/E22</f>
        <v>0.53931662578971717</v>
      </c>
      <c r="M22" s="241"/>
      <c r="N22" s="164"/>
      <c r="O22" s="193"/>
    </row>
    <row r="23" spans="3:15">
      <c r="C23" s="259" t="s">
        <v>423</v>
      </c>
      <c r="D23" s="261">
        <v>86312101767</v>
      </c>
      <c r="E23" s="261">
        <v>100711889448</v>
      </c>
      <c r="F23" s="261">
        <v>64900000000</v>
      </c>
      <c r="G23" s="261">
        <v>70271800000</v>
      </c>
      <c r="H23" s="261">
        <v>70271800000</v>
      </c>
      <c r="I23" s="261">
        <v>70271800000</v>
      </c>
      <c r="J23" s="267">
        <f>H23/P2</f>
        <v>1.5175303108033788E-2</v>
      </c>
      <c r="K23" s="256">
        <f t="shared" si="9"/>
        <v>8.2770416024653404E-2</v>
      </c>
      <c r="L23" s="256">
        <f t="shared" si="10"/>
        <v>0.69775078578267602</v>
      </c>
      <c r="N23" s="252"/>
    </row>
    <row r="24" spans="3:15" ht="15.75" thickBot="1">
      <c r="C24" s="259" t="s">
        <v>422</v>
      </c>
      <c r="D24" s="261">
        <v>159983720000</v>
      </c>
      <c r="E24" s="261">
        <v>296492581127</v>
      </c>
      <c r="F24" s="261">
        <v>129154760140.87</v>
      </c>
      <c r="G24" s="261">
        <v>143947174819.10001</v>
      </c>
      <c r="H24" s="261">
        <v>143947174819.10001</v>
      </c>
      <c r="I24" s="261">
        <v>143947174819.10001</v>
      </c>
      <c r="J24" s="267">
        <f>H24/P2</f>
        <v>3.1085613424232356E-2</v>
      </c>
      <c r="K24" s="256">
        <f t="shared" si="9"/>
        <v>0.1145324776422938</v>
      </c>
      <c r="L24" s="256">
        <f t="shared" si="10"/>
        <v>0.48550008999193639</v>
      </c>
      <c r="M24" s="252"/>
      <c r="N24" s="252"/>
    </row>
    <row r="25" spans="3:15" ht="15.75" thickBot="1">
      <c r="C25" s="266" t="s">
        <v>421</v>
      </c>
      <c r="D25" s="265">
        <f t="shared" ref="D25:I25" si="11">+D26+D27</f>
        <v>136044800000</v>
      </c>
      <c r="E25" s="265">
        <f t="shared" si="11"/>
        <v>163609385286</v>
      </c>
      <c r="F25" s="265">
        <f t="shared" si="11"/>
        <v>91913354897.740005</v>
      </c>
      <c r="G25" s="265">
        <f t="shared" si="11"/>
        <v>106569430151.03999</v>
      </c>
      <c r="H25" s="265">
        <f t="shared" si="11"/>
        <v>106047197005.77998</v>
      </c>
      <c r="I25" s="265">
        <f t="shared" si="11"/>
        <v>89800316688.11998</v>
      </c>
      <c r="J25" s="264">
        <f>H25/P2</f>
        <v>2.2901055022357251E-2</v>
      </c>
      <c r="K25" s="263">
        <f t="shared" si="9"/>
        <v>0.1537735416552346</v>
      </c>
      <c r="L25" s="263">
        <f>+H25/E25</f>
        <v>0.64817306672476327</v>
      </c>
    </row>
    <row r="26" spans="3:15" ht="24.75">
      <c r="C26" s="262" t="s">
        <v>420</v>
      </c>
      <c r="D26" s="261">
        <v>2835800000</v>
      </c>
      <c r="E26" s="261">
        <v>10752821122</v>
      </c>
      <c r="F26" s="261">
        <v>1631564080.8</v>
      </c>
      <c r="G26" s="261">
        <v>1669943724.3600001</v>
      </c>
      <c r="H26" s="261">
        <v>1669943724.3600001</v>
      </c>
      <c r="I26" s="261">
        <v>1586610391.3600001</v>
      </c>
      <c r="J26" s="260">
        <f>H26/P2</f>
        <v>3.6062691137158618E-4</v>
      </c>
      <c r="K26" s="256">
        <f t="shared" si="9"/>
        <v>2.3523221681358342E-2</v>
      </c>
      <c r="L26" s="256">
        <f t="shared" si="10"/>
        <v>0.15530284614735546</v>
      </c>
    </row>
    <row r="27" spans="3:15" ht="15.75" thickBot="1">
      <c r="C27" s="259" t="s">
        <v>419</v>
      </c>
      <c r="D27" s="258">
        <v>133209000000</v>
      </c>
      <c r="E27" s="258">
        <v>152856564164</v>
      </c>
      <c r="F27" s="258">
        <v>90281790816.940002</v>
      </c>
      <c r="G27" s="258">
        <v>104899486426.67999</v>
      </c>
      <c r="H27" s="258">
        <v>104377253281.41998</v>
      </c>
      <c r="I27" s="258">
        <v>88213706296.759979</v>
      </c>
      <c r="J27" s="257">
        <f>H27/P2</f>
        <v>2.2540428110985666E-2</v>
      </c>
      <c r="K27" s="256">
        <f t="shared" si="9"/>
        <v>0.15612741325723878</v>
      </c>
      <c r="L27" s="256">
        <f t="shared" si="10"/>
        <v>0.6828444290389355</v>
      </c>
    </row>
    <row r="28" spans="3:15" ht="15.75" thickBot="1">
      <c r="C28" s="247" t="s">
        <v>418</v>
      </c>
      <c r="D28" s="246">
        <f t="shared" ref="D28:I28" si="12">+D22-D25</f>
        <v>110251021767</v>
      </c>
      <c r="E28" s="246">
        <f t="shared" si="12"/>
        <v>233595085289</v>
      </c>
      <c r="F28" s="246">
        <f t="shared" si="12"/>
        <v>102141405243.12999</v>
      </c>
      <c r="G28" s="246">
        <f t="shared" si="12"/>
        <v>107649544668.06001</v>
      </c>
      <c r="H28" s="246">
        <f t="shared" si="12"/>
        <v>108171777813.32002</v>
      </c>
      <c r="I28" s="246">
        <f t="shared" si="12"/>
        <v>124418658130.98003</v>
      </c>
      <c r="J28" s="255">
        <f>H28/P2</f>
        <v>2.3359861509908892E-2</v>
      </c>
      <c r="K28" s="244">
        <f t="shared" si="9"/>
        <v>5.9039451785843022E-2</v>
      </c>
      <c r="L28" s="244">
        <f t="shared" si="10"/>
        <v>0.4630738599636704</v>
      </c>
      <c r="N28" s="193"/>
    </row>
    <row r="29" spans="3:15">
      <c r="C29" s="577" t="s">
        <v>239</v>
      </c>
      <c r="D29" s="577"/>
      <c r="E29" s="577"/>
      <c r="F29" s="577"/>
      <c r="G29" s="577"/>
      <c r="H29" s="577"/>
      <c r="I29" s="577"/>
      <c r="J29" s="577"/>
      <c r="K29" s="577"/>
      <c r="L29" s="577"/>
    </row>
    <row r="30" spans="3:15" ht="15" customHeight="1">
      <c r="C30" s="578" t="s">
        <v>238</v>
      </c>
      <c r="D30" s="578"/>
      <c r="E30" s="578"/>
      <c r="F30" s="578"/>
      <c r="G30" s="578"/>
      <c r="H30" s="578"/>
      <c r="I30" s="578"/>
      <c r="J30" s="578"/>
      <c r="K30" s="578"/>
      <c r="L30" s="578"/>
    </row>
    <row r="31" spans="3:15">
      <c r="C31" s="578" t="s">
        <v>390</v>
      </c>
      <c r="D31" s="578"/>
      <c r="E31" s="578"/>
      <c r="F31" s="578"/>
      <c r="G31" s="578"/>
      <c r="H31" s="578"/>
      <c r="I31" s="578"/>
      <c r="J31" s="578"/>
      <c r="K31" s="578"/>
      <c r="L31" s="578"/>
    </row>
    <row r="32" spans="3:15">
      <c r="C32" s="146" t="s">
        <v>236</v>
      </c>
      <c r="D32" s="146"/>
      <c r="E32" s="146"/>
      <c r="F32" s="146"/>
      <c r="G32" s="146"/>
      <c r="H32" s="146"/>
      <c r="I32" s="146"/>
      <c r="J32" s="146"/>
      <c r="K32" s="146"/>
      <c r="L32" s="146"/>
    </row>
    <row r="33" spans="3:12">
      <c r="C33" s="578" t="s">
        <v>235</v>
      </c>
      <c r="D33" s="578"/>
      <c r="E33" s="578"/>
      <c r="F33" s="578"/>
      <c r="G33" s="578"/>
      <c r="H33" s="578"/>
      <c r="I33" s="578"/>
      <c r="J33" s="578"/>
      <c r="K33" s="578"/>
      <c r="L33" s="578"/>
    </row>
    <row r="34" spans="3:12">
      <c r="C34" s="578" t="s">
        <v>138</v>
      </c>
      <c r="D34" s="578"/>
      <c r="E34" s="578"/>
      <c r="F34" s="578"/>
      <c r="G34" s="578"/>
      <c r="H34" s="578"/>
      <c r="I34" s="578"/>
      <c r="J34" s="578"/>
      <c r="K34" s="578"/>
      <c r="L34" s="578"/>
    </row>
    <row r="35" spans="3:12">
      <c r="C35" s="578" t="s">
        <v>139</v>
      </c>
      <c r="D35" s="578"/>
      <c r="E35" s="578"/>
      <c r="F35" s="578"/>
      <c r="G35" s="578"/>
      <c r="H35" s="578"/>
      <c r="I35" s="578"/>
      <c r="J35" s="578"/>
      <c r="K35" s="578"/>
      <c r="L35" s="578"/>
    </row>
    <row r="36" spans="3:12">
      <c r="C36" s="560" t="s">
        <v>140</v>
      </c>
      <c r="D36" s="560"/>
      <c r="E36" s="560"/>
      <c r="F36" s="560"/>
      <c r="G36" s="560"/>
      <c r="H36" s="560"/>
      <c r="I36" s="560"/>
      <c r="J36" s="560"/>
      <c r="K36" s="560"/>
      <c r="L36" s="560"/>
    </row>
  </sheetData>
  <mergeCells count="19">
    <mergeCell ref="C34:L34"/>
    <mergeCell ref="C35:L35"/>
    <mergeCell ref="C36:L36"/>
    <mergeCell ref="H6:H7"/>
    <mergeCell ref="I6:I7"/>
    <mergeCell ref="J6:J7"/>
    <mergeCell ref="C29:L29"/>
    <mergeCell ref="C31:L31"/>
    <mergeCell ref="C33:L33"/>
    <mergeCell ref="K6:K7"/>
    <mergeCell ref="L6:L7"/>
    <mergeCell ref="C30:L30"/>
    <mergeCell ref="C4:L4"/>
    <mergeCell ref="C5:L5"/>
    <mergeCell ref="C6:C8"/>
    <mergeCell ref="D6:D7"/>
    <mergeCell ref="E6:E7"/>
    <mergeCell ref="F6:F7"/>
    <mergeCell ref="G6:G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27"/>
  <sheetViews>
    <sheetView showGridLines="0" zoomScale="69" zoomScaleNormal="69" workbookViewId="0">
      <selection activeCell="C3" sqref="C3:F3"/>
    </sheetView>
  </sheetViews>
  <sheetFormatPr baseColWidth="10" defaultColWidth="11.5703125" defaultRowHeight="15"/>
  <cols>
    <col min="3" max="3" width="55.140625" bestFit="1" customWidth="1"/>
    <col min="4" max="5" width="21.85546875" customWidth="1"/>
  </cols>
  <sheetData>
    <row r="2" spans="3:9" ht="15.75">
      <c r="C2" s="593" t="s">
        <v>568</v>
      </c>
      <c r="D2" s="593"/>
      <c r="E2" s="593"/>
      <c r="F2" s="593"/>
    </row>
    <row r="3" spans="3:9">
      <c r="C3" s="594" t="s">
        <v>563</v>
      </c>
      <c r="D3" s="594"/>
      <c r="E3" s="594"/>
      <c r="F3" s="594"/>
    </row>
    <row r="4" spans="3:9" ht="7.5" customHeight="1">
      <c r="C4" s="467"/>
      <c r="D4" s="467"/>
      <c r="E4" s="467"/>
      <c r="F4" s="467"/>
    </row>
    <row r="5" spans="3:9" ht="15" customHeight="1">
      <c r="C5" s="592" t="s">
        <v>562</v>
      </c>
      <c r="D5" s="466" t="s">
        <v>561</v>
      </c>
      <c r="E5" s="592" t="s">
        <v>560</v>
      </c>
      <c r="F5" s="592" t="s">
        <v>448</v>
      </c>
    </row>
    <row r="6" spans="3:9" ht="16.5" customHeight="1">
      <c r="C6" s="592"/>
      <c r="D6" s="466" t="s">
        <v>559</v>
      </c>
      <c r="E6" s="592"/>
      <c r="F6" s="592"/>
    </row>
    <row r="7" spans="3:9" ht="16.5" thickBot="1">
      <c r="C7" s="463" t="s">
        <v>558</v>
      </c>
      <c r="D7" s="465">
        <v>25285.278445379001</v>
      </c>
      <c r="E7" s="461">
        <f t="shared" ref="E7:E19" si="0">D7/$D$21</f>
        <v>0.6600335019232515</v>
      </c>
      <c r="F7" s="461">
        <f>D7/'Cuadro 22'!$E$17</f>
        <v>0.31151551764326352</v>
      </c>
    </row>
    <row r="8" spans="3:9" ht="15.75">
      <c r="C8" s="458" t="s">
        <v>557</v>
      </c>
      <c r="D8" s="459">
        <v>18422.643947152003</v>
      </c>
      <c r="E8" s="456">
        <f t="shared" si="0"/>
        <v>0.48089492964813063</v>
      </c>
      <c r="F8" s="456">
        <f>D8/'Cuadro 22'!$E$17</f>
        <v>0.22696761983269395</v>
      </c>
      <c r="G8" s="193"/>
    </row>
    <row r="9" spans="3:9" ht="15.75">
      <c r="C9" s="460" t="s">
        <v>556</v>
      </c>
      <c r="D9" s="459">
        <v>18408.685762217003</v>
      </c>
      <c r="E9" s="456">
        <f t="shared" si="0"/>
        <v>0.48053057258941589</v>
      </c>
      <c r="F9" s="456">
        <f>D9/'Cuadro 22'!$E$17</f>
        <v>0.22679565450453748</v>
      </c>
      <c r="I9" s="193"/>
    </row>
    <row r="10" spans="3:9" ht="15.75">
      <c r="C10" s="460" t="s">
        <v>555</v>
      </c>
      <c r="D10" s="459">
        <v>7.9932923000000002</v>
      </c>
      <c r="E10" s="456">
        <f t="shared" si="0"/>
        <v>2.0865266404172602E-4</v>
      </c>
      <c r="F10" s="456">
        <f>D10/'Cuadro 22'!$E$17</f>
        <v>9.8477641600323271E-5</v>
      </c>
    </row>
    <row r="11" spans="3:9" ht="15.75">
      <c r="C11" s="460" t="s">
        <v>554</v>
      </c>
      <c r="D11" s="459">
        <v>5.964892635</v>
      </c>
      <c r="E11" s="456">
        <f t="shared" si="0"/>
        <v>1.5570439467297109E-4</v>
      </c>
      <c r="F11" s="456">
        <f>D11/'Cuadro 22'!$E$17</f>
        <v>7.3487686556131306E-5</v>
      </c>
      <c r="H11" s="464"/>
    </row>
    <row r="12" spans="3:9" ht="15.75">
      <c r="C12" s="458" t="s">
        <v>553</v>
      </c>
      <c r="D12" s="459">
        <v>5122.4222883050006</v>
      </c>
      <c r="E12" s="456">
        <f t="shared" si="0"/>
        <v>0.13371299543262702</v>
      </c>
      <c r="F12" s="456">
        <f>D12/'Cuadro 22'!$E$17</f>
        <v>6.3108422324704386E-2</v>
      </c>
      <c r="G12" s="193"/>
    </row>
    <row r="13" spans="3:9" ht="15.75">
      <c r="C13" s="458" t="s">
        <v>552</v>
      </c>
      <c r="D13" s="459">
        <v>1740.2122099219998</v>
      </c>
      <c r="E13" s="456">
        <f t="shared" si="0"/>
        <v>4.5425576842493876E-2</v>
      </c>
      <c r="F13" s="456">
        <f>D13/'Cuadro 22'!$E$17</f>
        <v>2.1439475485865219E-2</v>
      </c>
      <c r="G13" s="193"/>
    </row>
    <row r="14" spans="3:9" ht="16.5" thickBot="1">
      <c r="C14" s="463" t="s">
        <v>551</v>
      </c>
      <c r="D14" s="462">
        <v>13023.804914330774</v>
      </c>
      <c r="E14" s="461">
        <f t="shared" si="0"/>
        <v>0.33996649807674861</v>
      </c>
      <c r="F14" s="461">
        <f>D14/'Cuadro 22'!$E$17</f>
        <v>0.16045373351678818</v>
      </c>
    </row>
    <row r="15" spans="3:9" ht="15.75">
      <c r="C15" s="460" t="s">
        <v>550</v>
      </c>
      <c r="D15" s="459">
        <v>8752.9246295609992</v>
      </c>
      <c r="E15" s="456">
        <f t="shared" si="0"/>
        <v>0.22848170360470119</v>
      </c>
      <c r="F15" s="456">
        <f>D15/'Cuadro 22'!$E$17</f>
        <v>0.1078363385540837</v>
      </c>
      <c r="G15" s="193"/>
    </row>
    <row r="16" spans="3:9" ht="15.75">
      <c r="C16" s="460" t="s">
        <v>549</v>
      </c>
      <c r="D16" s="459">
        <v>2352.2110194809998</v>
      </c>
      <c r="E16" s="456">
        <f t="shared" si="0"/>
        <v>6.1400869276732807E-2</v>
      </c>
      <c r="F16" s="456">
        <f>D16/'Cuadro 22'!$E$17</f>
        <v>2.8979322293115804E-2</v>
      </c>
      <c r="G16" s="193"/>
    </row>
    <row r="17" spans="3:7" ht="15.75">
      <c r="C17" s="460" t="s">
        <v>548</v>
      </c>
      <c r="D17" s="459">
        <v>923.66926528877514</v>
      </c>
      <c r="E17" s="456">
        <f t="shared" si="0"/>
        <v>2.4110972758492354E-2</v>
      </c>
      <c r="F17" s="456">
        <f>D17/'Cuadro 22'!$E$17</f>
        <v>1.1379637757566043E-2</v>
      </c>
      <c r="G17" s="193"/>
    </row>
    <row r="18" spans="3:7" ht="15.75">
      <c r="C18" s="460" t="s">
        <v>547</v>
      </c>
      <c r="D18" s="459">
        <v>500</v>
      </c>
      <c r="E18" s="456">
        <f t="shared" si="0"/>
        <v>1.3051734892875493E-2</v>
      </c>
      <c r="F18" s="456">
        <f>D18/'Cuadro 22'!$E$17</f>
        <v>6.1600175437299641E-3</v>
      </c>
      <c r="G18" s="193"/>
    </row>
    <row r="19" spans="3:7" ht="15.75">
      <c r="C19" s="460" t="s">
        <v>546</v>
      </c>
      <c r="D19" s="459">
        <v>495</v>
      </c>
      <c r="E19" s="456">
        <f t="shared" si="0"/>
        <v>1.2921217543946739E-2</v>
      </c>
      <c r="F19" s="456">
        <f>D19/'Cuadro 22'!$E$17</f>
        <v>6.0984173682926647E-3</v>
      </c>
      <c r="G19" s="193"/>
    </row>
    <row r="20" spans="3:7" ht="8.25" customHeight="1">
      <c r="C20" s="458"/>
      <c r="D20" s="457"/>
      <c r="E20" s="456"/>
      <c r="F20" s="456"/>
    </row>
    <row r="21" spans="3:7" ht="15.75">
      <c r="C21" s="455" t="s">
        <v>210</v>
      </c>
      <c r="D21" s="454">
        <v>38309.083359709774</v>
      </c>
      <c r="E21" s="453">
        <f>D21/$D$21</f>
        <v>1</v>
      </c>
      <c r="F21" s="453">
        <f>D21/'Cuadro 22'!$E$17</f>
        <v>0.47196925116005167</v>
      </c>
    </row>
    <row r="22" spans="3:7">
      <c r="C22" s="452" t="s">
        <v>545</v>
      </c>
    </row>
    <row r="23" spans="3:7">
      <c r="C23" s="452" t="s">
        <v>544</v>
      </c>
    </row>
    <row r="26" spans="3:7">
      <c r="D26" s="193"/>
      <c r="E26" s="193"/>
    </row>
    <row r="27" spans="3:7">
      <c r="D27" s="432"/>
      <c r="E27" s="432"/>
    </row>
  </sheetData>
  <mergeCells count="5">
    <mergeCell ref="C5:C6"/>
    <mergeCell ref="F5:F6"/>
    <mergeCell ref="C2:F2"/>
    <mergeCell ref="C3:F3"/>
    <mergeCell ref="E5:E6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1"/>
  <sheetViews>
    <sheetView showGridLines="0" zoomScale="85" zoomScaleNormal="85" workbookViewId="0">
      <selection activeCell="B4" sqref="B4:L4"/>
    </sheetView>
  </sheetViews>
  <sheetFormatPr baseColWidth="10" defaultColWidth="11.5703125" defaultRowHeight="15"/>
  <cols>
    <col min="2" max="2" width="25.85546875" bestFit="1" customWidth="1"/>
    <col min="16" max="16" width="25.5703125" bestFit="1" customWidth="1"/>
  </cols>
  <sheetData>
    <row r="1" spans="2:20" ht="15.75" thickBot="1"/>
    <row r="2" spans="2:20" ht="15.75" thickBot="1">
      <c r="B2" s="278"/>
      <c r="C2" s="293"/>
      <c r="D2" s="295"/>
      <c r="E2" s="294"/>
      <c r="F2" s="293"/>
      <c r="P2" s="292"/>
      <c r="Q2" s="291">
        <v>2019</v>
      </c>
      <c r="R2" s="291" t="s">
        <v>88</v>
      </c>
      <c r="S2" s="291" t="s">
        <v>232</v>
      </c>
      <c r="T2" s="290" t="s">
        <v>231</v>
      </c>
    </row>
    <row r="3" spans="2:20" ht="15.75">
      <c r="B3" s="595" t="s">
        <v>569</v>
      </c>
      <c r="C3" s="595"/>
      <c r="D3" s="595"/>
      <c r="E3" s="595"/>
      <c r="F3" s="595"/>
      <c r="G3" s="595"/>
      <c r="H3" s="595"/>
      <c r="I3" s="595"/>
      <c r="J3" s="595"/>
      <c r="K3" s="595"/>
      <c r="L3" s="595"/>
      <c r="P3" s="285" t="s">
        <v>462</v>
      </c>
      <c r="Q3" s="289">
        <v>1.8100000000000002E-2</v>
      </c>
      <c r="R3" s="284">
        <v>0.04</v>
      </c>
      <c r="S3" s="103">
        <v>0.02</v>
      </c>
      <c r="T3" s="102">
        <v>0.04</v>
      </c>
    </row>
    <row r="4" spans="2:20">
      <c r="B4" s="596" t="s">
        <v>461</v>
      </c>
      <c r="C4" s="596"/>
      <c r="D4" s="596"/>
      <c r="E4" s="596"/>
      <c r="F4" s="596"/>
      <c r="G4" s="596"/>
      <c r="H4" s="596"/>
      <c r="I4" s="596"/>
      <c r="J4" s="596"/>
      <c r="K4" s="596"/>
      <c r="L4" s="596"/>
      <c r="P4" s="285" t="s">
        <v>460</v>
      </c>
      <c r="Q4" s="289">
        <v>3.6600000000000001E-2</v>
      </c>
      <c r="R4" s="284">
        <v>0.04</v>
      </c>
      <c r="S4" s="103">
        <v>2.5000000000000001E-2</v>
      </c>
      <c r="T4" s="102">
        <v>0.04</v>
      </c>
    </row>
    <row r="5" spans="2:20"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P5" s="285" t="s">
        <v>459</v>
      </c>
      <c r="Q5" s="288">
        <v>51.3</v>
      </c>
      <c r="R5" s="287">
        <v>53.56</v>
      </c>
      <c r="S5" s="287">
        <v>57.05</v>
      </c>
      <c r="T5" s="286">
        <v>59.33</v>
      </c>
    </row>
    <row r="6" spans="2:20"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P6" s="285" t="s">
        <v>458</v>
      </c>
      <c r="Q6" s="103">
        <v>2.3E-2</v>
      </c>
      <c r="R6" s="284">
        <v>1.9E-2</v>
      </c>
      <c r="S6" s="103">
        <v>-5.3999999999999999E-2</v>
      </c>
      <c r="T6" s="102">
        <v>4.2999999999999997E-2</v>
      </c>
    </row>
    <row r="7" spans="2:20" ht="15.75" thickBot="1">
      <c r="P7" s="283" t="s">
        <v>457</v>
      </c>
      <c r="Q7" s="281">
        <v>5.0999999999999997E-2</v>
      </c>
      <c r="R7" s="282">
        <v>0.05</v>
      </c>
      <c r="S7" s="281">
        <v>0</v>
      </c>
      <c r="T7" s="280">
        <v>0.05</v>
      </c>
    </row>
    <row r="30" spans="2:2">
      <c r="B30" s="279" t="s">
        <v>456</v>
      </c>
    </row>
    <row r="31" spans="2:2">
      <c r="B31" s="279" t="s">
        <v>455</v>
      </c>
    </row>
  </sheetData>
  <mergeCells count="2">
    <mergeCell ref="B3:L3"/>
    <mergeCell ref="B4:L4"/>
  </mergeCell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44"/>
  <sheetViews>
    <sheetView showGridLines="0" zoomScale="72" zoomScaleNormal="72" workbookViewId="0">
      <selection activeCell="B7" sqref="B7:I7"/>
    </sheetView>
  </sheetViews>
  <sheetFormatPr baseColWidth="10" defaultColWidth="11.5703125" defaultRowHeight="15"/>
  <cols>
    <col min="2" max="2" width="36.28515625" bestFit="1" customWidth="1"/>
    <col min="3" max="9" width="14.42578125" bestFit="1" customWidth="1"/>
  </cols>
  <sheetData>
    <row r="5" spans="2:9" ht="15.75">
      <c r="B5" s="597"/>
      <c r="C5" s="597"/>
      <c r="D5" s="597"/>
      <c r="E5" s="597"/>
      <c r="F5" s="597"/>
      <c r="G5" s="597"/>
      <c r="H5" s="597"/>
      <c r="I5" s="597"/>
    </row>
    <row r="6" spans="2:9" ht="15.75">
      <c r="B6" s="597" t="s">
        <v>570</v>
      </c>
      <c r="C6" s="597"/>
      <c r="D6" s="597"/>
      <c r="E6" s="597"/>
      <c r="F6" s="597"/>
      <c r="G6" s="597"/>
      <c r="H6" s="597"/>
      <c r="I6" s="597"/>
    </row>
    <row r="7" spans="2:9" ht="15.75">
      <c r="B7" s="598" t="s">
        <v>485</v>
      </c>
      <c r="C7" s="598"/>
      <c r="D7" s="598"/>
      <c r="E7" s="598"/>
      <c r="F7" s="598"/>
      <c r="G7" s="598"/>
      <c r="H7" s="598"/>
      <c r="I7" s="598"/>
    </row>
    <row r="8" spans="2:9" ht="15.75" thickBot="1"/>
    <row r="9" spans="2:9">
      <c r="B9" s="602"/>
      <c r="C9" s="600">
        <v>2018</v>
      </c>
      <c r="D9" s="600">
        <v>2019</v>
      </c>
      <c r="E9" s="604">
        <v>2020</v>
      </c>
      <c r="F9" s="604">
        <v>2021</v>
      </c>
      <c r="G9" s="604">
        <v>2022</v>
      </c>
      <c r="H9" s="606">
        <v>2023</v>
      </c>
      <c r="I9" s="606">
        <v>2024</v>
      </c>
    </row>
    <row r="10" spans="2:9" ht="15.75" thickBot="1">
      <c r="B10" s="603"/>
      <c r="C10" s="601"/>
      <c r="D10" s="601"/>
      <c r="E10" s="605"/>
      <c r="F10" s="605"/>
      <c r="G10" s="605"/>
      <c r="H10" s="607"/>
      <c r="I10" s="607"/>
    </row>
    <row r="11" spans="2:9">
      <c r="B11" s="312" t="s">
        <v>484</v>
      </c>
      <c r="C11" s="349">
        <v>171.4</v>
      </c>
      <c r="D11" s="348">
        <v>180.1</v>
      </c>
      <c r="E11" s="347">
        <v>180.1</v>
      </c>
      <c r="F11" s="347">
        <v>189.1</v>
      </c>
      <c r="G11" s="347">
        <v>198.6</v>
      </c>
      <c r="H11" s="342">
        <v>208.5</v>
      </c>
      <c r="I11" s="341">
        <v>218.9</v>
      </c>
    </row>
    <row r="12" spans="2:9">
      <c r="B12" s="312" t="s">
        <v>483</v>
      </c>
      <c r="C12" s="344">
        <v>7</v>
      </c>
      <c r="D12" s="336">
        <v>5.0999999999999996</v>
      </c>
      <c r="E12" s="346">
        <v>0</v>
      </c>
      <c r="F12" s="340">
        <v>5</v>
      </c>
      <c r="G12" s="340">
        <v>5</v>
      </c>
      <c r="H12" s="340">
        <v>5</v>
      </c>
      <c r="I12" s="339">
        <v>5</v>
      </c>
    </row>
    <row r="13" spans="2:9">
      <c r="B13" s="312"/>
      <c r="C13" s="333"/>
      <c r="D13" s="333"/>
      <c r="E13" s="332"/>
      <c r="F13" s="332"/>
      <c r="G13" s="332"/>
      <c r="H13" s="332"/>
      <c r="I13" s="335"/>
    </row>
    <row r="14" spans="2:9">
      <c r="B14" s="312" t="s">
        <v>482</v>
      </c>
      <c r="C14" s="345">
        <v>4235846.8</v>
      </c>
      <c r="D14" s="343">
        <v>4562235.0999999996</v>
      </c>
      <c r="E14" s="342">
        <v>4630668.5999999996</v>
      </c>
      <c r="F14" s="342">
        <v>5056690.0999999996</v>
      </c>
      <c r="G14" s="342">
        <v>5521905.5999999996</v>
      </c>
      <c r="H14" s="342">
        <v>6029921</v>
      </c>
      <c r="I14" s="341">
        <v>6584673.7000000002</v>
      </c>
    </row>
    <row r="15" spans="2:9">
      <c r="B15" s="312" t="s">
        <v>481</v>
      </c>
      <c r="C15" s="344">
        <v>11.4</v>
      </c>
      <c r="D15" s="343">
        <v>7.7</v>
      </c>
      <c r="E15" s="342">
        <v>1.5</v>
      </c>
      <c r="F15" s="342">
        <v>9.1999999999999993</v>
      </c>
      <c r="G15" s="342">
        <v>9.1999999999999993</v>
      </c>
      <c r="H15" s="342">
        <v>9.1999999999999993</v>
      </c>
      <c r="I15" s="341">
        <v>9.1999999999999993</v>
      </c>
    </row>
    <row r="16" spans="2:9">
      <c r="B16" s="312"/>
      <c r="C16" s="344"/>
      <c r="D16" s="343"/>
      <c r="E16" s="342"/>
      <c r="F16" s="342"/>
      <c r="G16" s="342"/>
      <c r="H16" s="342"/>
      <c r="I16" s="341"/>
    </row>
    <row r="17" spans="2:9">
      <c r="B17" s="312" t="s">
        <v>480</v>
      </c>
      <c r="C17" s="345">
        <v>85536.9</v>
      </c>
      <c r="D17" s="343">
        <v>88906.1</v>
      </c>
      <c r="E17" s="342">
        <v>81168.600000000006</v>
      </c>
      <c r="F17" s="342">
        <v>85227</v>
      </c>
      <c r="G17" s="342">
        <v>89488.4</v>
      </c>
      <c r="H17" s="342">
        <v>93962.8</v>
      </c>
      <c r="I17" s="341">
        <v>98660.9</v>
      </c>
    </row>
    <row r="18" spans="2:9">
      <c r="B18" s="312" t="s">
        <v>479</v>
      </c>
      <c r="C18" s="344">
        <v>6.9</v>
      </c>
      <c r="D18" s="343">
        <v>3.9</v>
      </c>
      <c r="E18" s="342">
        <v>-8.6999999999999993</v>
      </c>
      <c r="F18" s="342">
        <v>5</v>
      </c>
      <c r="G18" s="342">
        <v>5</v>
      </c>
      <c r="H18" s="342">
        <v>5</v>
      </c>
      <c r="I18" s="341">
        <v>5</v>
      </c>
    </row>
    <row r="19" spans="2:9">
      <c r="B19" s="312"/>
      <c r="C19" s="333"/>
      <c r="D19" s="333"/>
      <c r="E19" s="332"/>
      <c r="F19" s="332"/>
      <c r="G19" s="332"/>
      <c r="H19" s="332"/>
      <c r="I19" s="335"/>
    </row>
    <row r="20" spans="2:9">
      <c r="B20" s="334" t="s">
        <v>478</v>
      </c>
      <c r="C20" s="337">
        <v>4</v>
      </c>
      <c r="D20" s="337">
        <v>4</v>
      </c>
      <c r="E20" s="338">
        <v>4</v>
      </c>
      <c r="F20" s="338">
        <v>4</v>
      </c>
      <c r="G20" s="338">
        <v>4</v>
      </c>
      <c r="H20" s="331">
        <v>4</v>
      </c>
      <c r="I20" s="330">
        <v>4</v>
      </c>
    </row>
    <row r="21" spans="2:9">
      <c r="B21" s="334" t="s">
        <v>477</v>
      </c>
      <c r="C21" s="336">
        <v>3.56</v>
      </c>
      <c r="D21" s="336">
        <v>1.81</v>
      </c>
      <c r="E21" s="340">
        <v>2</v>
      </c>
      <c r="F21" s="340">
        <v>4</v>
      </c>
      <c r="G21" s="340">
        <v>4</v>
      </c>
      <c r="H21" s="340">
        <v>4</v>
      </c>
      <c r="I21" s="339">
        <v>4</v>
      </c>
    </row>
    <row r="22" spans="2:9">
      <c r="B22" s="334" t="s">
        <v>460</v>
      </c>
      <c r="C22" s="337">
        <v>1.17</v>
      </c>
      <c r="D22" s="336">
        <v>3.66</v>
      </c>
      <c r="E22" s="338">
        <v>2.5</v>
      </c>
      <c r="F22" s="338">
        <v>4</v>
      </c>
      <c r="G22" s="338">
        <v>4</v>
      </c>
      <c r="H22" s="331">
        <v>4</v>
      </c>
      <c r="I22" s="330">
        <v>4</v>
      </c>
    </row>
    <row r="23" spans="2:9">
      <c r="B23" s="312" t="s">
        <v>476</v>
      </c>
      <c r="C23" s="337">
        <v>4.12</v>
      </c>
      <c r="D23" s="336">
        <v>2.5299999999999998</v>
      </c>
      <c r="E23" s="331">
        <v>1.5</v>
      </c>
      <c r="F23" s="331">
        <v>4</v>
      </c>
      <c r="G23" s="331">
        <v>4</v>
      </c>
      <c r="H23" s="331">
        <v>4</v>
      </c>
      <c r="I23" s="330">
        <v>4</v>
      </c>
    </row>
    <row r="24" spans="2:9">
      <c r="B24" s="312"/>
      <c r="C24" s="333"/>
      <c r="D24" s="333"/>
      <c r="E24" s="332"/>
      <c r="F24" s="332"/>
      <c r="G24" s="332"/>
      <c r="H24" s="332"/>
      <c r="I24" s="335"/>
    </row>
    <row r="25" spans="2:9">
      <c r="B25" s="334" t="s">
        <v>475</v>
      </c>
      <c r="C25" s="333">
        <v>49.54</v>
      </c>
      <c r="D25" s="333">
        <v>51.33</v>
      </c>
      <c r="E25" s="332">
        <v>57.05</v>
      </c>
      <c r="F25" s="332">
        <v>59.33</v>
      </c>
      <c r="G25" s="332">
        <v>61.81</v>
      </c>
      <c r="H25" s="331">
        <v>64.17</v>
      </c>
      <c r="I25" s="330">
        <v>66.739999999999995</v>
      </c>
    </row>
    <row r="26" spans="2:9" ht="15.75" thickBot="1">
      <c r="B26" s="329" t="s">
        <v>474</v>
      </c>
      <c r="C26" s="328">
        <v>4.2</v>
      </c>
      <c r="D26" s="327">
        <v>3.6</v>
      </c>
      <c r="E26" s="326">
        <v>11.2</v>
      </c>
      <c r="F26" s="326">
        <v>4</v>
      </c>
      <c r="G26" s="326">
        <v>4</v>
      </c>
      <c r="H26" s="326">
        <v>4</v>
      </c>
      <c r="I26" s="325">
        <v>4</v>
      </c>
    </row>
    <row r="27" spans="2:9">
      <c r="B27" s="300"/>
    </row>
    <row r="29" spans="2:9" ht="15.75" thickBot="1">
      <c r="B29" s="324" t="s">
        <v>473</v>
      </c>
    </row>
    <row r="30" spans="2:9">
      <c r="B30" s="323" t="s">
        <v>94</v>
      </c>
      <c r="C30" s="322">
        <v>64.8</v>
      </c>
      <c r="D30" s="321">
        <v>57</v>
      </c>
      <c r="E30" s="320">
        <v>30.1</v>
      </c>
      <c r="F30" s="320">
        <v>43.3</v>
      </c>
      <c r="G30" s="320">
        <v>43.7</v>
      </c>
      <c r="H30" s="319">
        <v>43.5</v>
      </c>
      <c r="I30" s="318">
        <v>43.9</v>
      </c>
    </row>
    <row r="31" spans="2:9">
      <c r="B31" s="312" t="s">
        <v>95</v>
      </c>
      <c r="C31" s="317">
        <v>1269</v>
      </c>
      <c r="D31" s="317">
        <v>1393.1</v>
      </c>
      <c r="E31" s="316">
        <v>1600</v>
      </c>
      <c r="F31" s="316">
        <v>1590</v>
      </c>
      <c r="G31" s="316">
        <v>1567.7</v>
      </c>
      <c r="H31" s="315">
        <v>1545.7</v>
      </c>
      <c r="I31" s="314">
        <v>1503</v>
      </c>
    </row>
    <row r="32" spans="2:9">
      <c r="B32" s="312" t="s">
        <v>472</v>
      </c>
      <c r="C32" s="317">
        <v>13118.5</v>
      </c>
      <c r="D32" s="317">
        <v>13943.3</v>
      </c>
      <c r="E32" s="316">
        <v>11500</v>
      </c>
      <c r="F32" s="316">
        <v>12000</v>
      </c>
      <c r="G32" s="316">
        <v>12553</v>
      </c>
      <c r="H32" s="315">
        <v>13131.4</v>
      </c>
      <c r="I32" s="314">
        <v>14370</v>
      </c>
    </row>
    <row r="33" spans="2:9">
      <c r="B33" s="312" t="s">
        <v>471</v>
      </c>
      <c r="C33" s="317">
        <v>92</v>
      </c>
      <c r="D33" s="317">
        <v>61.5</v>
      </c>
      <c r="E33" s="316">
        <v>50.8</v>
      </c>
      <c r="F33" s="316">
        <v>55.9</v>
      </c>
      <c r="G33" s="316">
        <v>63</v>
      </c>
      <c r="H33" s="315">
        <v>63</v>
      </c>
      <c r="I33" s="314">
        <v>63</v>
      </c>
    </row>
    <row r="34" spans="2:9">
      <c r="B34" s="312" t="s">
        <v>470</v>
      </c>
      <c r="C34" s="313">
        <v>2.9</v>
      </c>
      <c r="D34" s="310">
        <v>2.2999999999999998</v>
      </c>
      <c r="E34" s="309">
        <v>-5.4</v>
      </c>
      <c r="F34" s="309">
        <v>4.3</v>
      </c>
      <c r="G34" s="309">
        <v>3</v>
      </c>
      <c r="H34" s="308">
        <v>2.2000000000000002</v>
      </c>
      <c r="I34" s="307">
        <v>2</v>
      </c>
    </row>
    <row r="35" spans="2:9">
      <c r="B35" s="312" t="s">
        <v>469</v>
      </c>
      <c r="C35" s="311">
        <v>2.4</v>
      </c>
      <c r="D35" s="310">
        <v>1.8</v>
      </c>
      <c r="E35" s="309">
        <v>0.7</v>
      </c>
      <c r="F35" s="309">
        <v>1.8</v>
      </c>
      <c r="G35" s="309">
        <v>2.2000000000000002</v>
      </c>
      <c r="H35" s="308">
        <v>2.2000000000000002</v>
      </c>
      <c r="I35" s="307">
        <v>2.1</v>
      </c>
    </row>
    <row r="36" spans="2:9" ht="15.75" thickBot="1">
      <c r="B36" s="306" t="s">
        <v>468</v>
      </c>
      <c r="C36" s="305">
        <v>1.9</v>
      </c>
      <c r="D36" s="304">
        <v>2.2999999999999998</v>
      </c>
      <c r="E36" s="303">
        <v>0.8</v>
      </c>
      <c r="F36" s="303">
        <v>2.4</v>
      </c>
      <c r="G36" s="303">
        <v>2.2999999999999998</v>
      </c>
      <c r="H36" s="302">
        <v>2.2999999999999998</v>
      </c>
      <c r="I36" s="301">
        <v>2.2000000000000002</v>
      </c>
    </row>
    <row r="37" spans="2:9" ht="6" customHeight="1">
      <c r="B37" s="300"/>
    </row>
    <row r="38" spans="2:9">
      <c r="B38" s="297" t="s">
        <v>467</v>
      </c>
    </row>
    <row r="39" spans="2:9">
      <c r="B39" s="299" t="s">
        <v>466</v>
      </c>
      <c r="C39" s="298"/>
      <c r="D39" s="298"/>
      <c r="E39" s="298"/>
      <c r="F39" s="298"/>
      <c r="G39" s="298"/>
      <c r="H39" s="298"/>
      <c r="I39" s="298"/>
    </row>
    <row r="40" spans="2:9">
      <c r="B40" s="299" t="s">
        <v>465</v>
      </c>
      <c r="C40" s="298"/>
      <c r="D40" s="298"/>
      <c r="E40" s="298"/>
      <c r="F40" s="298"/>
      <c r="G40" s="298"/>
      <c r="H40" s="298"/>
      <c r="I40" s="298"/>
    </row>
    <row r="41" spans="2:9" ht="26.25" customHeight="1">
      <c r="B41" s="599" t="s">
        <v>464</v>
      </c>
      <c r="C41" s="599"/>
      <c r="D41" s="599"/>
      <c r="E41" s="599"/>
      <c r="F41" s="599"/>
      <c r="G41" s="599"/>
      <c r="H41" s="599"/>
      <c r="I41" s="599"/>
    </row>
    <row r="42" spans="2:9">
      <c r="B42" s="299" t="s">
        <v>463</v>
      </c>
      <c r="C42" s="298"/>
      <c r="D42" s="298"/>
      <c r="E42" s="298"/>
      <c r="F42" s="298"/>
      <c r="G42" s="298"/>
      <c r="H42" s="298"/>
      <c r="I42" s="298"/>
    </row>
    <row r="43" spans="2:9">
      <c r="B43" s="297"/>
      <c r="C43" s="296"/>
    </row>
    <row r="44" spans="2:9">
      <c r="C44" s="296"/>
    </row>
  </sheetData>
  <mergeCells count="12">
    <mergeCell ref="B5:I5"/>
    <mergeCell ref="B6:I6"/>
    <mergeCell ref="B7:I7"/>
    <mergeCell ref="B41:I41"/>
    <mergeCell ref="C9:C10"/>
    <mergeCell ref="B9:B10"/>
    <mergeCell ref="D9:D10"/>
    <mergeCell ref="E9:E10"/>
    <mergeCell ref="F9:F10"/>
    <mergeCell ref="G9:G10"/>
    <mergeCell ref="H9:H10"/>
    <mergeCell ref="I9:I10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L29"/>
  <sheetViews>
    <sheetView showGridLines="0" zoomScale="88" zoomScaleNormal="88" workbookViewId="0">
      <selection activeCell="C3" sqref="C3"/>
    </sheetView>
  </sheetViews>
  <sheetFormatPr baseColWidth="10" defaultColWidth="9.140625" defaultRowHeight="15"/>
  <cols>
    <col min="3" max="3" width="33.7109375" bestFit="1" customWidth="1"/>
    <col min="4" max="4" width="13.85546875" customWidth="1"/>
    <col min="5" max="5" width="15.85546875" customWidth="1"/>
    <col min="6" max="6" width="16.7109375" customWidth="1"/>
  </cols>
  <sheetData>
    <row r="2" spans="3:12" ht="27" customHeight="1" thickBot="1">
      <c r="C2" s="608" t="s">
        <v>571</v>
      </c>
      <c r="D2" s="608"/>
      <c r="E2" s="608"/>
      <c r="F2" s="608"/>
      <c r="G2" s="376"/>
      <c r="H2" s="376"/>
      <c r="I2" s="376"/>
      <c r="J2" s="375"/>
      <c r="K2" s="375"/>
      <c r="L2" s="375"/>
    </row>
    <row r="3" spans="3:12" ht="33" customHeight="1" thickBot="1">
      <c r="C3" s="374"/>
      <c r="D3" s="373" t="s">
        <v>488</v>
      </c>
      <c r="E3" s="372" t="s">
        <v>487</v>
      </c>
      <c r="F3" s="371" t="s">
        <v>486</v>
      </c>
    </row>
    <row r="4" spans="3:12">
      <c r="C4" s="355" t="s">
        <v>484</v>
      </c>
      <c r="D4" s="370">
        <v>189</v>
      </c>
      <c r="E4" s="365">
        <v>180.1</v>
      </c>
      <c r="F4" s="356">
        <f>E4-D4</f>
        <v>-8.9000000000000057</v>
      </c>
    </row>
    <row r="5" spans="3:12">
      <c r="C5" s="355" t="s">
        <v>483</v>
      </c>
      <c r="D5" s="370">
        <v>5</v>
      </c>
      <c r="E5" s="369">
        <v>0</v>
      </c>
      <c r="F5" s="353">
        <f>E5-D5</f>
        <v>-5</v>
      </c>
    </row>
    <row r="6" spans="3:12">
      <c r="C6" s="355"/>
      <c r="D6" s="368"/>
      <c r="E6" s="365"/>
      <c r="F6" s="353"/>
    </row>
    <row r="7" spans="3:12">
      <c r="C7" s="355" t="s">
        <v>482</v>
      </c>
      <c r="D7" s="354">
        <v>4918407.8</v>
      </c>
      <c r="E7" s="365">
        <v>4630668.5999999996</v>
      </c>
      <c r="F7" s="353">
        <f>E7-D7</f>
        <v>-287739.20000000019</v>
      </c>
    </row>
    <row r="8" spans="3:12">
      <c r="C8" s="355" t="s">
        <v>481</v>
      </c>
      <c r="D8" s="354">
        <v>7.89</v>
      </c>
      <c r="E8" s="365">
        <v>1.5</v>
      </c>
      <c r="F8" s="353">
        <f>E8-D8</f>
        <v>-6.39</v>
      </c>
    </row>
    <row r="9" spans="3:12">
      <c r="C9" s="355"/>
      <c r="D9" s="354"/>
      <c r="E9" s="365"/>
      <c r="F9" s="353"/>
    </row>
    <row r="10" spans="3:12">
      <c r="C10" s="355" t="s">
        <v>480</v>
      </c>
      <c r="D10" s="354">
        <v>91836.3</v>
      </c>
      <c r="E10" s="365">
        <v>81168.600000000006</v>
      </c>
      <c r="F10" s="353">
        <f>E10-D10</f>
        <v>-10667.699999999997</v>
      </c>
    </row>
    <row r="11" spans="3:12">
      <c r="C11" s="355" t="s">
        <v>479</v>
      </c>
      <c r="D11" s="354">
        <v>3.2</v>
      </c>
      <c r="E11" s="365">
        <v>-8.6999999999999993</v>
      </c>
      <c r="F11" s="353">
        <f>E11-D11</f>
        <v>-11.899999999999999</v>
      </c>
    </row>
    <row r="12" spans="3:12">
      <c r="C12" s="355"/>
      <c r="D12" s="354"/>
      <c r="E12" s="365"/>
      <c r="F12" s="353"/>
    </row>
    <row r="13" spans="3:12">
      <c r="C13" s="367" t="s">
        <v>478</v>
      </c>
      <c r="D13" s="366">
        <v>4</v>
      </c>
      <c r="E13" s="365">
        <v>4</v>
      </c>
      <c r="F13" s="364">
        <f>E13-D13</f>
        <v>0</v>
      </c>
    </row>
    <row r="14" spans="3:12">
      <c r="C14" s="367" t="s">
        <v>477</v>
      </c>
      <c r="D14" s="366">
        <v>4</v>
      </c>
      <c r="E14" s="365">
        <v>2</v>
      </c>
      <c r="F14" s="364">
        <f>E14-D14</f>
        <v>-2</v>
      </c>
    </row>
    <row r="15" spans="3:12">
      <c r="C15" s="367" t="s">
        <v>460</v>
      </c>
      <c r="D15" s="366">
        <v>4</v>
      </c>
      <c r="E15" s="365">
        <v>2.5</v>
      </c>
      <c r="F15" s="364">
        <f>E15-D15</f>
        <v>-1.5</v>
      </c>
    </row>
    <row r="16" spans="3:12">
      <c r="C16" s="355" t="s">
        <v>476</v>
      </c>
      <c r="D16" s="366">
        <v>2.75</v>
      </c>
      <c r="E16" s="365">
        <v>1.5</v>
      </c>
      <c r="F16" s="364">
        <f>E16-D16</f>
        <v>-1.25</v>
      </c>
    </row>
    <row r="17" spans="3:6">
      <c r="C17" s="355"/>
      <c r="D17" s="366"/>
      <c r="E17" s="365"/>
      <c r="F17" s="364"/>
    </row>
    <row r="18" spans="3:6">
      <c r="C18" s="367" t="s">
        <v>475</v>
      </c>
      <c r="D18" s="366">
        <v>53.56</v>
      </c>
      <c r="E18" s="365">
        <v>57.05</v>
      </c>
      <c r="F18" s="364">
        <f>E18-D18</f>
        <v>3.4899999999999949</v>
      </c>
    </row>
    <row r="19" spans="3:6" ht="15.75" thickBot="1">
      <c r="C19" s="363" t="s">
        <v>474</v>
      </c>
      <c r="D19" s="362">
        <v>4.5</v>
      </c>
      <c r="E19" s="361">
        <v>11.2</v>
      </c>
      <c r="F19" s="360">
        <f>E19-D19</f>
        <v>6.6999999999999993</v>
      </c>
    </row>
    <row r="20" spans="3:6">
      <c r="C20" s="300"/>
      <c r="D20" s="359"/>
    </row>
    <row r="21" spans="3:6">
      <c r="D21" s="359"/>
    </row>
    <row r="22" spans="3:6" ht="15.75" thickBot="1">
      <c r="C22" s="324" t="s">
        <v>473</v>
      </c>
      <c r="D22" s="359"/>
    </row>
    <row r="23" spans="3:6">
      <c r="C23" s="358" t="s">
        <v>94</v>
      </c>
      <c r="D23" s="357">
        <v>59.1</v>
      </c>
      <c r="E23" s="357">
        <v>30.1</v>
      </c>
      <c r="F23" s="356">
        <f t="shared" ref="F23:F29" si="0">E23-D23</f>
        <v>-29</v>
      </c>
    </row>
    <row r="24" spans="3:6">
      <c r="C24" s="355" t="s">
        <v>95</v>
      </c>
      <c r="D24" s="354">
        <v>1390.8</v>
      </c>
      <c r="E24" s="354">
        <v>1600</v>
      </c>
      <c r="F24" s="353">
        <f t="shared" si="0"/>
        <v>209.20000000000005</v>
      </c>
    </row>
    <row r="25" spans="3:6">
      <c r="C25" s="355" t="s">
        <v>472</v>
      </c>
      <c r="D25" s="354">
        <v>13188.6</v>
      </c>
      <c r="E25" s="354">
        <v>11500</v>
      </c>
      <c r="F25" s="353">
        <f t="shared" si="0"/>
        <v>-1688.6000000000004</v>
      </c>
    </row>
    <row r="26" spans="3:6">
      <c r="C26" s="355" t="s">
        <v>471</v>
      </c>
      <c r="D26" s="354">
        <v>65.7</v>
      </c>
      <c r="E26" s="354">
        <v>50.8</v>
      </c>
      <c r="F26" s="353">
        <f t="shared" si="0"/>
        <v>-14.900000000000006</v>
      </c>
    </row>
    <row r="27" spans="3:6">
      <c r="C27" s="355" t="s">
        <v>470</v>
      </c>
      <c r="D27" s="354">
        <v>1.9</v>
      </c>
      <c r="E27" s="354">
        <v>-5.4</v>
      </c>
      <c r="F27" s="353">
        <f t="shared" si="0"/>
        <v>-7.3000000000000007</v>
      </c>
    </row>
    <row r="28" spans="3:6">
      <c r="C28" s="355" t="s">
        <v>469</v>
      </c>
      <c r="D28" s="354">
        <v>2.1</v>
      </c>
      <c r="E28" s="354">
        <v>0.7</v>
      </c>
      <c r="F28" s="353">
        <f t="shared" si="0"/>
        <v>-1.4000000000000001</v>
      </c>
    </row>
    <row r="29" spans="3:6" ht="15.75" thickBot="1">
      <c r="C29" s="352" t="s">
        <v>468</v>
      </c>
      <c r="D29" s="351">
        <v>2.1</v>
      </c>
      <c r="E29" s="351">
        <v>0.8</v>
      </c>
      <c r="F29" s="350">
        <f t="shared" si="0"/>
        <v>-1.3</v>
      </c>
    </row>
  </sheetData>
  <mergeCells count="1">
    <mergeCell ref="C2:F2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33"/>
  <sheetViews>
    <sheetView showGridLines="0" topLeftCell="C1" workbookViewId="0">
      <selection activeCell="H9" sqref="H9"/>
    </sheetView>
  </sheetViews>
  <sheetFormatPr baseColWidth="10" defaultColWidth="9.140625" defaultRowHeight="15"/>
  <cols>
    <col min="4" max="4" width="60.28515625" customWidth="1"/>
    <col min="5" max="6" width="14.42578125" bestFit="1" customWidth="1"/>
  </cols>
  <sheetData>
    <row r="2" spans="3:7" ht="15.75">
      <c r="C2" s="583" t="s">
        <v>572</v>
      </c>
      <c r="D2" s="583"/>
      <c r="E2" s="583"/>
      <c r="F2" s="583"/>
      <c r="G2" s="583"/>
    </row>
    <row r="3" spans="3:7" ht="21" customHeight="1" thickBot="1">
      <c r="C3" s="609" t="s">
        <v>512</v>
      </c>
      <c r="D3" s="609"/>
      <c r="E3" s="609"/>
      <c r="F3" s="609"/>
      <c r="G3" s="609"/>
    </row>
    <row r="4" spans="3:7">
      <c r="D4" s="610" t="s">
        <v>100</v>
      </c>
      <c r="E4" s="612">
        <v>2019</v>
      </c>
      <c r="F4" s="614">
        <v>2020</v>
      </c>
    </row>
    <row r="5" spans="3:7" ht="15.75" thickBot="1">
      <c r="D5" s="611"/>
      <c r="E5" s="613"/>
      <c r="F5" s="615"/>
    </row>
    <row r="6" spans="3:7" ht="15.75" thickBot="1">
      <c r="D6" s="392" t="s">
        <v>511</v>
      </c>
      <c r="E6" s="410"/>
      <c r="F6" s="409"/>
    </row>
    <row r="7" spans="3:7">
      <c r="D7" s="389" t="s">
        <v>510</v>
      </c>
      <c r="E7" s="406">
        <v>164.2</v>
      </c>
      <c r="F7" s="405">
        <v>172.3</v>
      </c>
    </row>
    <row r="8" spans="3:7" ht="15.75" thickBot="1">
      <c r="D8" s="386" t="s">
        <v>482</v>
      </c>
      <c r="E8" s="408">
        <v>1089890.1000000001</v>
      </c>
      <c r="F8" s="407">
        <v>1135444.5</v>
      </c>
    </row>
    <row r="9" spans="3:7" ht="15.75" thickBot="1">
      <c r="D9" s="392" t="s">
        <v>509</v>
      </c>
      <c r="E9" s="391"/>
      <c r="F9" s="390"/>
    </row>
    <row r="10" spans="3:7" ht="15.75" thickBot="1">
      <c r="D10" s="389" t="s">
        <v>508</v>
      </c>
      <c r="E10" s="406">
        <v>1.3107170393215295</v>
      </c>
      <c r="F10" s="405">
        <v>0.98934550989344672</v>
      </c>
    </row>
    <row r="11" spans="3:7" ht="15.75" thickBot="1">
      <c r="D11" s="392" t="s">
        <v>507</v>
      </c>
      <c r="E11" s="391"/>
      <c r="F11" s="390"/>
    </row>
    <row r="12" spans="3:7" ht="15.75" thickBot="1">
      <c r="D12" s="389" t="s">
        <v>506</v>
      </c>
      <c r="E12" s="406">
        <v>50.54229999999999</v>
      </c>
      <c r="F12" s="405">
        <v>54.624383333333327</v>
      </c>
    </row>
    <row r="13" spans="3:7" ht="15.75" thickBot="1">
      <c r="D13" s="392" t="s">
        <v>505</v>
      </c>
      <c r="E13" s="391"/>
      <c r="F13" s="390"/>
    </row>
    <row r="14" spans="3:7">
      <c r="D14" s="389" t="s">
        <v>504</v>
      </c>
      <c r="E14" s="388">
        <v>0.61099999999999999</v>
      </c>
      <c r="F14" s="387">
        <v>0.59799999999999998</v>
      </c>
    </row>
    <row r="15" spans="3:7" ht="15.75" thickBot="1">
      <c r="D15" s="404" t="s">
        <v>503</v>
      </c>
      <c r="E15" s="403">
        <v>5.8000000000000003E-2</v>
      </c>
      <c r="F15" s="402">
        <v>5.7000000000000002E-2</v>
      </c>
    </row>
    <row r="16" spans="3:7" ht="15.75" thickBot="1">
      <c r="D16" s="392" t="s">
        <v>502</v>
      </c>
      <c r="E16" s="391"/>
      <c r="F16" s="390"/>
    </row>
    <row r="17" spans="4:7">
      <c r="D17" s="389" t="s">
        <v>501</v>
      </c>
      <c r="E17" s="401">
        <v>283.5</v>
      </c>
      <c r="F17" s="400">
        <v>-67.900000000000006</v>
      </c>
    </row>
    <row r="18" spans="4:7">
      <c r="D18" s="386" t="s">
        <v>499</v>
      </c>
      <c r="E18" s="399">
        <v>2.6011796088988586E-4</v>
      </c>
      <c r="F18" s="398">
        <v>-5.9800367657620091E-5</v>
      </c>
    </row>
    <row r="19" spans="4:7">
      <c r="D19" s="386" t="s">
        <v>500</v>
      </c>
      <c r="E19" s="397">
        <v>-2135.5</v>
      </c>
      <c r="F19" s="396">
        <v>-1861.1</v>
      </c>
    </row>
    <row r="20" spans="4:7" ht="15.75" thickBot="1">
      <c r="D20" s="386" t="s">
        <v>499</v>
      </c>
      <c r="E20" s="384">
        <v>-1.9593718006361599E-3</v>
      </c>
      <c r="F20" s="383">
        <v>-1.6390937297142377E-3</v>
      </c>
    </row>
    <row r="21" spans="4:7" ht="15.75" thickBot="1">
      <c r="D21" s="392" t="s">
        <v>498</v>
      </c>
      <c r="E21" s="391"/>
      <c r="F21" s="390"/>
    </row>
    <row r="22" spans="4:7" ht="15.75" thickBot="1">
      <c r="D22" s="395" t="s">
        <v>497</v>
      </c>
      <c r="E22" s="394">
        <v>5.5E-2</v>
      </c>
      <c r="F22" s="393">
        <v>3.5000000000000003E-2</v>
      </c>
    </row>
    <row r="23" spans="4:7" ht="15.75" thickBot="1">
      <c r="D23" s="392" t="s">
        <v>496</v>
      </c>
      <c r="E23" s="391"/>
      <c r="F23" s="390"/>
    </row>
    <row r="24" spans="4:7">
      <c r="D24" s="389" t="s">
        <v>495</v>
      </c>
      <c r="E24" s="388">
        <v>7.6999999999999999E-2</v>
      </c>
      <c r="F24" s="387">
        <v>7.2999999999999995E-2</v>
      </c>
    </row>
    <row r="25" spans="4:7">
      <c r="D25" s="386" t="s">
        <v>494</v>
      </c>
      <c r="E25" s="384">
        <v>5.8000000000000003E-2</v>
      </c>
      <c r="F25" s="383">
        <v>5.8999999999999997E-2</v>
      </c>
    </row>
    <row r="26" spans="4:7">
      <c r="D26" s="386" t="s">
        <v>493</v>
      </c>
      <c r="E26" s="384">
        <v>0.114</v>
      </c>
      <c r="F26" s="383">
        <v>0.10299999999999999</v>
      </c>
    </row>
    <row r="27" spans="4:7">
      <c r="D27" s="385" t="s">
        <v>492</v>
      </c>
      <c r="E27" s="384">
        <v>0.12</v>
      </c>
      <c r="F27" s="383">
        <v>0.111</v>
      </c>
    </row>
    <row r="28" spans="4:7" ht="15.75" thickBot="1">
      <c r="D28" s="382" t="s">
        <v>491</v>
      </c>
      <c r="E28" s="381">
        <v>6.6000000000000003E-2</v>
      </c>
      <c r="F28" s="380">
        <v>6.6000000000000003E-2</v>
      </c>
    </row>
    <row r="29" spans="4:7">
      <c r="D29" s="379" t="s">
        <v>490</v>
      </c>
      <c r="E29" s="378"/>
      <c r="F29" s="378"/>
      <c r="G29" s="378"/>
    </row>
    <row r="30" spans="4:7">
      <c r="D30" s="379" t="s">
        <v>489</v>
      </c>
      <c r="E30" s="378"/>
      <c r="F30" s="378"/>
      <c r="G30" s="378"/>
    </row>
    <row r="33" spans="5:6">
      <c r="E33" s="377"/>
      <c r="F33" s="377"/>
    </row>
  </sheetData>
  <mergeCells count="5">
    <mergeCell ref="C2:G2"/>
    <mergeCell ref="C3:G3"/>
    <mergeCell ref="D4:D5"/>
    <mergeCell ref="E4:E5"/>
    <mergeCell ref="F4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2"/>
  <sheetViews>
    <sheetView showGridLines="0" workbookViewId="0">
      <selection activeCell="O9" sqref="O9"/>
    </sheetView>
  </sheetViews>
  <sheetFormatPr baseColWidth="10" defaultColWidth="9.140625" defaultRowHeight="15"/>
  <sheetData>
    <row r="2" spans="2:12">
      <c r="B2" s="506" t="s">
        <v>3</v>
      </c>
      <c r="C2" s="506"/>
      <c r="D2" s="506"/>
      <c r="E2" s="506"/>
      <c r="F2" s="506"/>
      <c r="G2" s="506"/>
      <c r="H2" s="506"/>
      <c r="I2" s="506"/>
      <c r="J2" s="506"/>
      <c r="K2" s="506"/>
      <c r="L2" s="506"/>
    </row>
    <row r="3" spans="2:12">
      <c r="B3" s="507" t="s">
        <v>2</v>
      </c>
      <c r="C3" s="507"/>
      <c r="D3" s="507"/>
      <c r="E3" s="507"/>
      <c r="F3" s="507"/>
      <c r="G3" s="507"/>
      <c r="H3" s="507"/>
      <c r="I3" s="507"/>
      <c r="J3" s="507"/>
      <c r="K3" s="507"/>
      <c r="L3" s="507"/>
    </row>
    <row r="22" spans="2:2">
      <c r="B22" s="1" t="s">
        <v>4</v>
      </c>
    </row>
  </sheetData>
  <mergeCells count="2">
    <mergeCell ref="B2:L2"/>
    <mergeCell ref="B3:L3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M15"/>
  <sheetViews>
    <sheetView showGridLines="0" zoomScaleNormal="100" workbookViewId="0">
      <selection activeCell="E9" sqref="E9"/>
    </sheetView>
  </sheetViews>
  <sheetFormatPr baseColWidth="10" defaultColWidth="9.140625" defaultRowHeight="15"/>
  <cols>
    <col min="2" max="2" width="22.5703125" customWidth="1"/>
    <col min="3" max="4" width="16.140625" bestFit="1" customWidth="1"/>
    <col min="5" max="5" width="16.7109375" bestFit="1" customWidth="1"/>
    <col min="7" max="7" width="9.5703125" bestFit="1" customWidth="1"/>
    <col min="8" max="8" width="9.28515625" bestFit="1" customWidth="1"/>
    <col min="11" max="11" width="19.5703125" hidden="1" customWidth="1"/>
    <col min="12" max="12" width="15.5703125" bestFit="1" customWidth="1"/>
  </cols>
  <sheetData>
    <row r="4" spans="2:13">
      <c r="B4" s="494" t="s">
        <v>583</v>
      </c>
      <c r="K4" s="490">
        <f>1000000*4630668.6265</f>
        <v>4630668626500</v>
      </c>
    </row>
    <row r="5" spans="2:13">
      <c r="B5" s="616" t="s">
        <v>87</v>
      </c>
      <c r="C5" s="616" t="s">
        <v>581</v>
      </c>
      <c r="D5" s="616"/>
      <c r="E5" s="616"/>
      <c r="F5" s="616" t="s">
        <v>580</v>
      </c>
      <c r="G5" s="616"/>
      <c r="H5" s="616"/>
    </row>
    <row r="6" spans="2:13">
      <c r="B6" s="616"/>
      <c r="C6" s="489" t="s">
        <v>88</v>
      </c>
      <c r="D6" s="489" t="s">
        <v>579</v>
      </c>
      <c r="E6" s="489" t="s">
        <v>578</v>
      </c>
      <c r="F6" s="489" t="s">
        <v>88</v>
      </c>
      <c r="G6" s="489" t="s">
        <v>579</v>
      </c>
      <c r="H6" s="489" t="s">
        <v>578</v>
      </c>
    </row>
    <row r="7" spans="2:13">
      <c r="B7" s="481" t="s">
        <v>577</v>
      </c>
      <c r="C7" s="480">
        <f>+C8+C9</f>
        <v>750823351175.99133</v>
      </c>
      <c r="D7" s="479">
        <f>+D8+D9</f>
        <v>673107785090.98547</v>
      </c>
      <c r="E7" s="478">
        <f t="shared" ref="E7:E14" si="0">+D7-C7</f>
        <v>-77715566085.005859</v>
      </c>
      <c r="F7" s="477">
        <f t="shared" ref="F7:G14" si="1">+C7/$K$4</f>
        <v>0.16214145552960599</v>
      </c>
      <c r="G7" s="476">
        <f t="shared" si="1"/>
        <v>0.14535865970606945</v>
      </c>
      <c r="H7" s="475">
        <f t="shared" ref="H7:H14" si="2">(G7-F7)*100</f>
        <v>-1.6782795823536534</v>
      </c>
    </row>
    <row r="8" spans="2:13">
      <c r="B8" s="487" t="s">
        <v>576</v>
      </c>
      <c r="C8" s="486">
        <v>747829089850.99133</v>
      </c>
      <c r="D8" s="485">
        <v>670113523766</v>
      </c>
      <c r="E8" s="484">
        <f t="shared" si="0"/>
        <v>-77715566084.991333</v>
      </c>
      <c r="F8" s="483">
        <f t="shared" si="1"/>
        <v>0.16149484019896782</v>
      </c>
      <c r="G8" s="284">
        <f t="shared" si="1"/>
        <v>0.14471204437543442</v>
      </c>
      <c r="H8" s="482">
        <f t="shared" si="2"/>
        <v>-1.6782795823533396</v>
      </c>
      <c r="L8" s="253"/>
      <c r="M8" s="193"/>
    </row>
    <row r="9" spans="2:13">
      <c r="B9" s="487" t="s">
        <v>113</v>
      </c>
      <c r="C9" s="486">
        <v>2994261325</v>
      </c>
      <c r="D9" s="485">
        <v>2994261324.9855289</v>
      </c>
      <c r="E9" s="484">
        <f t="shared" si="0"/>
        <v>-1.4471054077148438E-2</v>
      </c>
      <c r="F9" s="483">
        <f t="shared" si="1"/>
        <v>6.4661533063814882E-4</v>
      </c>
      <c r="G9" s="284">
        <f t="shared" si="1"/>
        <v>6.4661533063502382E-4</v>
      </c>
      <c r="H9" s="482">
        <f t="shared" si="2"/>
        <v>-3.1249959217549694E-13</v>
      </c>
      <c r="L9" s="253"/>
      <c r="M9" s="193"/>
    </row>
    <row r="10" spans="2:13">
      <c r="B10" s="481" t="s">
        <v>575</v>
      </c>
      <c r="C10" s="480">
        <v>861074372943</v>
      </c>
      <c r="D10" s="479">
        <f>D11+D12</f>
        <v>906702870379.98999</v>
      </c>
      <c r="E10" s="478">
        <f t="shared" si="0"/>
        <v>45628497436.98999</v>
      </c>
      <c r="F10" s="477">
        <f t="shared" si="1"/>
        <v>0.18595033296386534</v>
      </c>
      <c r="G10" s="476">
        <f t="shared" si="1"/>
        <v>0.19580387704513927</v>
      </c>
      <c r="H10" s="475">
        <f t="shared" si="2"/>
        <v>0.98535440812739239</v>
      </c>
      <c r="L10" s="253"/>
      <c r="M10" s="193"/>
    </row>
    <row r="11" spans="2:13">
      <c r="B11" s="487" t="s">
        <v>574</v>
      </c>
      <c r="C11" s="486">
        <v>711080883184</v>
      </c>
      <c r="D11" s="485">
        <f>743872018558.99+613</f>
        <v>743872019171.98999</v>
      </c>
      <c r="E11" s="484">
        <f t="shared" si="0"/>
        <v>32791135987.98999</v>
      </c>
      <c r="F11" s="483">
        <f t="shared" si="1"/>
        <v>0.15355900854461627</v>
      </c>
      <c r="G11" s="284">
        <f t="shared" si="1"/>
        <v>0.16064030470999846</v>
      </c>
      <c r="H11" s="482">
        <f t="shared" si="2"/>
        <v>0.70812961653821949</v>
      </c>
      <c r="L11" s="488"/>
      <c r="M11" s="193"/>
    </row>
    <row r="12" spans="2:13">
      <c r="B12" s="487" t="s">
        <v>454</v>
      </c>
      <c r="C12" s="486">
        <v>149993489759</v>
      </c>
      <c r="D12" s="485">
        <v>162830851208</v>
      </c>
      <c r="E12" s="484">
        <f t="shared" si="0"/>
        <v>12837361449</v>
      </c>
      <c r="F12" s="483">
        <f t="shared" si="1"/>
        <v>3.2391324419249072E-2</v>
      </c>
      <c r="G12" s="284">
        <f t="shared" si="1"/>
        <v>3.5163572335140836E-2</v>
      </c>
      <c r="H12" s="482">
        <f t="shared" si="2"/>
        <v>0.27722479158917634</v>
      </c>
    </row>
    <row r="13" spans="2:13">
      <c r="B13" s="481" t="s">
        <v>573</v>
      </c>
      <c r="C13" s="480">
        <f>+C7-C10+C12</f>
        <v>39742467991.991333</v>
      </c>
      <c r="D13" s="479">
        <f>+D7-D10+D12</f>
        <v>-70764234081.004517</v>
      </c>
      <c r="E13" s="478">
        <f t="shared" si="0"/>
        <v>-110506702072.99585</v>
      </c>
      <c r="F13" s="477">
        <f t="shared" si="1"/>
        <v>8.5824469849897032E-3</v>
      </c>
      <c r="G13" s="476">
        <f t="shared" si="1"/>
        <v>-1.5281645003929006E-2</v>
      </c>
      <c r="H13" s="475">
        <f t="shared" si="2"/>
        <v>-2.386409198891871</v>
      </c>
    </row>
    <row r="14" spans="2:13">
      <c r="B14" s="474" t="s">
        <v>536</v>
      </c>
      <c r="C14" s="473">
        <f>+C7-C10</f>
        <v>-110251021767.00867</v>
      </c>
      <c r="D14" s="472">
        <f>+D7-D10</f>
        <v>-233595085289.00452</v>
      </c>
      <c r="E14" s="471">
        <f t="shared" si="0"/>
        <v>-123344063521.99585</v>
      </c>
      <c r="F14" s="470">
        <f t="shared" si="1"/>
        <v>-2.3808877434259367E-2</v>
      </c>
      <c r="G14" s="469">
        <f t="shared" si="1"/>
        <v>-5.0445217339069842E-2</v>
      </c>
      <c r="H14" s="468">
        <f t="shared" si="2"/>
        <v>-2.6636339904810473</v>
      </c>
    </row>
    <row r="15" spans="2:13">
      <c r="B15" s="495" t="s">
        <v>584</v>
      </c>
    </row>
  </sheetData>
  <mergeCells count="3">
    <mergeCell ref="C5:E5"/>
    <mergeCell ref="F5:H5"/>
    <mergeCell ref="B5:B6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5"/>
  <sheetViews>
    <sheetView showGridLines="0" zoomScale="85" zoomScaleNormal="85" workbookViewId="0">
      <selection activeCell="B5" sqref="B5:F14"/>
    </sheetView>
  </sheetViews>
  <sheetFormatPr baseColWidth="10" defaultColWidth="9.140625" defaultRowHeight="15"/>
  <cols>
    <col min="2" max="2" width="18.42578125" bestFit="1" customWidth="1"/>
    <col min="3" max="4" width="16.140625" bestFit="1" customWidth="1"/>
    <col min="5" max="5" width="10.85546875" bestFit="1" customWidth="1"/>
    <col min="6" max="6" width="9.5703125" bestFit="1" customWidth="1"/>
    <col min="8" max="8" width="0" hidden="1" customWidth="1"/>
    <col min="9" max="9" width="19.5703125" hidden="1" customWidth="1"/>
    <col min="10" max="10" width="15.5703125" bestFit="1" customWidth="1"/>
  </cols>
  <sheetData>
    <row r="3" spans="2:11">
      <c r="I3" t="s">
        <v>582</v>
      </c>
    </row>
    <row r="4" spans="2:11">
      <c r="B4" t="s">
        <v>585</v>
      </c>
      <c r="H4">
        <v>2020</v>
      </c>
      <c r="I4" s="490">
        <f>1000000*4630668.6265</f>
        <v>4630668626500</v>
      </c>
    </row>
    <row r="5" spans="2:11">
      <c r="B5" s="616" t="s">
        <v>87</v>
      </c>
      <c r="C5" s="616" t="s">
        <v>581</v>
      </c>
      <c r="D5" s="616"/>
      <c r="E5" s="616" t="s">
        <v>580</v>
      </c>
      <c r="F5" s="616"/>
      <c r="H5">
        <v>2021</v>
      </c>
      <c r="I5">
        <f>1000000*5056690.140138</f>
        <v>5056690140138</v>
      </c>
    </row>
    <row r="6" spans="2:11">
      <c r="B6" s="616"/>
      <c r="C6" s="489" t="s">
        <v>587</v>
      </c>
      <c r="D6" s="489">
        <v>2021</v>
      </c>
      <c r="E6" s="489" t="s">
        <v>587</v>
      </c>
      <c r="F6" s="489">
        <v>2021</v>
      </c>
    </row>
    <row r="7" spans="2:11">
      <c r="B7" s="481" t="s">
        <v>577</v>
      </c>
      <c r="C7" s="479">
        <f>+C8+C9</f>
        <v>673107785090.98547</v>
      </c>
      <c r="D7" s="479">
        <f>+D8+D9</f>
        <v>744076400000</v>
      </c>
      <c r="E7" s="477">
        <f t="shared" ref="E7:E14" si="0">+C7/$I$4</f>
        <v>0.14535865970606945</v>
      </c>
      <c r="F7" s="492">
        <f t="shared" ref="F7:F14" si="1">+D7/$I$5</f>
        <v>0.14714692405093538</v>
      </c>
    </row>
    <row r="8" spans="2:11">
      <c r="B8" s="487" t="s">
        <v>576</v>
      </c>
      <c r="C8" s="485">
        <v>670113523766</v>
      </c>
      <c r="D8" s="485">
        <v>741548100000</v>
      </c>
      <c r="E8" s="483">
        <f t="shared" si="0"/>
        <v>0.14471204437543442</v>
      </c>
      <c r="F8" s="493">
        <f t="shared" si="1"/>
        <v>0.14664693296389381</v>
      </c>
      <c r="J8" s="253"/>
      <c r="K8" s="193"/>
    </row>
    <row r="9" spans="2:11">
      <c r="B9" s="487" t="s">
        <v>113</v>
      </c>
      <c r="C9" s="485">
        <v>2994261324.9855289</v>
      </c>
      <c r="D9" s="485">
        <v>2528300000</v>
      </c>
      <c r="E9" s="483">
        <f t="shared" si="0"/>
        <v>6.4661533063502382E-4</v>
      </c>
      <c r="F9" s="493">
        <f t="shared" si="1"/>
        <v>4.9999108704157249E-4</v>
      </c>
      <c r="J9" s="253"/>
      <c r="K9" s="193"/>
    </row>
    <row r="10" spans="2:11">
      <c r="B10" s="481" t="s">
        <v>575</v>
      </c>
      <c r="C10" s="479">
        <f>SUM(C11:C12)</f>
        <v>906702870379.98999</v>
      </c>
      <c r="D10" s="479">
        <f>SUM(D11:D12)</f>
        <v>962157300000</v>
      </c>
      <c r="E10" s="477">
        <f t="shared" si="0"/>
        <v>0.19580387704513927</v>
      </c>
      <c r="F10" s="492">
        <f t="shared" si="1"/>
        <v>0.19027412661946144</v>
      </c>
      <c r="J10" s="253"/>
      <c r="K10" s="193"/>
    </row>
    <row r="11" spans="2:11">
      <c r="B11" s="487" t="s">
        <v>574</v>
      </c>
      <c r="C11" s="485">
        <v>743872019171.98999</v>
      </c>
      <c r="D11" s="485">
        <v>799625500000</v>
      </c>
      <c r="E11" s="483">
        <f t="shared" si="0"/>
        <v>0.16064030470999846</v>
      </c>
      <c r="F11" s="493">
        <f t="shared" si="1"/>
        <v>0.15813219276634929</v>
      </c>
      <c r="J11" s="488"/>
      <c r="K11" s="193"/>
    </row>
    <row r="12" spans="2:11">
      <c r="B12" s="487" t="s">
        <v>454</v>
      </c>
      <c r="C12" s="485">
        <v>162830851208</v>
      </c>
      <c r="D12" s="485">
        <v>162531800000</v>
      </c>
      <c r="E12" s="483">
        <f t="shared" si="0"/>
        <v>3.5163572335140836E-2</v>
      </c>
      <c r="F12" s="493">
        <f t="shared" si="1"/>
        <v>3.2141933853112148E-2</v>
      </c>
    </row>
    <row r="13" spans="2:11">
      <c r="B13" s="481" t="s">
        <v>573</v>
      </c>
      <c r="C13" s="479">
        <f>+C7-C10+C12</f>
        <v>-70764234081.004517</v>
      </c>
      <c r="D13" s="479">
        <f>+D7-D10+D12</f>
        <v>-55549100000</v>
      </c>
      <c r="E13" s="477">
        <f t="shared" si="0"/>
        <v>-1.5281645003929006E-2</v>
      </c>
      <c r="F13" s="492">
        <f t="shared" si="1"/>
        <v>-1.098526871541392E-2</v>
      </c>
    </row>
    <row r="14" spans="2:11">
      <c r="B14" s="474" t="s">
        <v>536</v>
      </c>
      <c r="C14" s="472">
        <f>+C7-C10</f>
        <v>-233595085289.00452</v>
      </c>
      <c r="D14" s="472">
        <f>+D7-D10</f>
        <v>-218080900000</v>
      </c>
      <c r="E14" s="470">
        <f t="shared" si="0"/>
        <v>-5.0445217339069842E-2</v>
      </c>
      <c r="F14" s="491">
        <f t="shared" si="1"/>
        <v>-4.312720256852607E-2</v>
      </c>
    </row>
    <row r="15" spans="2:11">
      <c r="B15" s="495" t="s">
        <v>584</v>
      </c>
    </row>
  </sheetData>
  <mergeCells count="3">
    <mergeCell ref="B5:B6"/>
    <mergeCell ref="C5:D5"/>
    <mergeCell ref="E5:F5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9"/>
  <sheetViews>
    <sheetView showGridLines="0" zoomScale="85" zoomScaleNormal="85" workbookViewId="0">
      <selection activeCell="F21" sqref="F21"/>
    </sheetView>
  </sheetViews>
  <sheetFormatPr baseColWidth="10" defaultColWidth="9.140625" defaultRowHeight="15"/>
  <cols>
    <col min="2" max="2" width="19" bestFit="1" customWidth="1"/>
    <col min="3" max="3" width="16.140625" customWidth="1"/>
    <col min="4" max="6" width="17.140625" bestFit="1" customWidth="1"/>
    <col min="7" max="10" width="6.140625" bestFit="1" customWidth="1"/>
    <col min="12" max="12" width="5.140625" hidden="1" customWidth="1"/>
    <col min="13" max="13" width="12.7109375" hidden="1" customWidth="1"/>
    <col min="14" max="14" width="15.5703125" bestFit="1" customWidth="1"/>
  </cols>
  <sheetData>
    <row r="3" spans="2:15">
      <c r="M3" t="s">
        <v>582</v>
      </c>
    </row>
    <row r="4" spans="2:15">
      <c r="B4" t="s">
        <v>585</v>
      </c>
      <c r="L4">
        <v>2021</v>
      </c>
      <c r="M4">
        <v>5056690.1401379993</v>
      </c>
    </row>
    <row r="5" spans="2:15">
      <c r="B5" s="616" t="s">
        <v>87</v>
      </c>
      <c r="C5" s="616" t="s">
        <v>581</v>
      </c>
      <c r="D5" s="616"/>
      <c r="E5" s="616"/>
      <c r="F5" s="616"/>
      <c r="G5" s="616" t="s">
        <v>580</v>
      </c>
      <c r="H5" s="616"/>
      <c r="I5" s="616"/>
      <c r="J5" s="616"/>
      <c r="L5">
        <v>2022</v>
      </c>
      <c r="M5">
        <v>5521905.6330306958</v>
      </c>
    </row>
    <row r="6" spans="2:15">
      <c r="B6" s="616"/>
      <c r="C6" s="489">
        <v>2021</v>
      </c>
      <c r="D6" s="489">
        <v>2022</v>
      </c>
      <c r="E6" s="489">
        <v>2023</v>
      </c>
      <c r="F6" s="489">
        <v>2024</v>
      </c>
      <c r="G6" s="489">
        <v>2021</v>
      </c>
      <c r="H6" s="489">
        <v>2022</v>
      </c>
      <c r="I6" s="489">
        <v>2023</v>
      </c>
      <c r="J6" s="489">
        <v>2024</v>
      </c>
      <c r="L6">
        <f>1+L5</f>
        <v>2023</v>
      </c>
      <c r="M6">
        <v>6029920.9512695204</v>
      </c>
    </row>
    <row r="7" spans="2:15">
      <c r="B7" s="481" t="s">
        <v>577</v>
      </c>
      <c r="C7" s="479">
        <v>744076400000</v>
      </c>
      <c r="D7" s="479">
        <v>825031500000</v>
      </c>
      <c r="E7" s="479">
        <v>907134400000</v>
      </c>
      <c r="F7" s="479">
        <v>994590600000</v>
      </c>
      <c r="G7" s="477">
        <f t="shared" ref="G7:G14" si="0">+C7/$M$4/1000000</f>
        <v>0.14714692405093541</v>
      </c>
      <c r="H7" s="476">
        <f t="shared" ref="H7:H14" si="1">+D7/$M$5/1000000</f>
        <v>0.14941064821261382</v>
      </c>
      <c r="I7" s="476">
        <f t="shared" ref="I7:I14" si="2">+E7/$M$6/1000000</f>
        <v>0.15043885439476859</v>
      </c>
      <c r="J7" s="492">
        <f t="shared" ref="J7:J14" si="3">+F7/$M$7/1000000</f>
        <v>0.15104630062447111</v>
      </c>
      <c r="L7">
        <f>1+L6</f>
        <v>2024</v>
      </c>
      <c r="M7">
        <v>6584673.6787863169</v>
      </c>
    </row>
    <row r="8" spans="2:15">
      <c r="B8" s="487" t="s">
        <v>576</v>
      </c>
      <c r="C8" s="485">
        <v>741548100000</v>
      </c>
      <c r="D8" s="485">
        <v>822270500000</v>
      </c>
      <c r="E8" s="485">
        <v>904119400000</v>
      </c>
      <c r="F8" s="485">
        <v>991298300000</v>
      </c>
      <c r="G8" s="483">
        <f t="shared" si="0"/>
        <v>0.14664693296389381</v>
      </c>
      <c r="H8" s="284">
        <f t="shared" si="1"/>
        <v>0.14891063966783094</v>
      </c>
      <c r="I8" s="284">
        <f t="shared" si="2"/>
        <v>0.14993884784006159</v>
      </c>
      <c r="J8" s="493">
        <f t="shared" si="3"/>
        <v>0.15054630621918921</v>
      </c>
      <c r="N8" s="253"/>
      <c r="O8" s="193"/>
    </row>
    <row r="9" spans="2:15">
      <c r="B9" s="487" t="s">
        <v>113</v>
      </c>
      <c r="C9" s="485">
        <v>2528300000</v>
      </c>
      <c r="D9" s="485">
        <v>2761000000</v>
      </c>
      <c r="E9" s="485">
        <v>3015000000</v>
      </c>
      <c r="F9" s="485">
        <v>3292300000</v>
      </c>
      <c r="G9" s="483">
        <f t="shared" si="0"/>
        <v>4.9999108704157249E-4</v>
      </c>
      <c r="H9" s="284">
        <f t="shared" si="1"/>
        <v>5.0000854478286804E-4</v>
      </c>
      <c r="I9" s="284">
        <f t="shared" si="2"/>
        <v>5.0000655470702835E-4</v>
      </c>
      <c r="J9" s="493">
        <f t="shared" si="3"/>
        <v>4.9999440528187796E-4</v>
      </c>
      <c r="N9" s="253"/>
      <c r="O9" s="193"/>
    </row>
    <row r="10" spans="2:15">
      <c r="B10" s="481" t="s">
        <v>575</v>
      </c>
      <c r="C10" s="479">
        <v>962157300000</v>
      </c>
      <c r="D10" s="479">
        <v>1018875000000</v>
      </c>
      <c r="E10" s="479">
        <v>1070550200000</v>
      </c>
      <c r="F10" s="479">
        <v>1124463400000</v>
      </c>
      <c r="G10" s="477">
        <f t="shared" si="0"/>
        <v>0.19027412661946147</v>
      </c>
      <c r="H10" s="476">
        <f t="shared" si="1"/>
        <v>0.18451510542037114</v>
      </c>
      <c r="I10" s="476">
        <f t="shared" si="2"/>
        <v>0.1775396740109188</v>
      </c>
      <c r="J10" s="492">
        <f t="shared" si="3"/>
        <v>0.1707697989078269</v>
      </c>
      <c r="N10" s="253"/>
      <c r="O10" s="193"/>
    </row>
    <row r="11" spans="2:15">
      <c r="B11" s="487" t="s">
        <v>574</v>
      </c>
      <c r="C11" s="485">
        <v>799625500000</v>
      </c>
      <c r="D11" s="485">
        <v>852559600000</v>
      </c>
      <c r="E11" s="485">
        <v>901015600000</v>
      </c>
      <c r="F11" s="485">
        <v>948400800000</v>
      </c>
      <c r="G11" s="483">
        <f t="shared" si="0"/>
        <v>0.15813219276634929</v>
      </c>
      <c r="H11" s="284">
        <f t="shared" si="1"/>
        <v>0.15439590182421734</v>
      </c>
      <c r="I11" s="284">
        <f t="shared" si="2"/>
        <v>0.14942411472414127</v>
      </c>
      <c r="J11" s="493">
        <f t="shared" si="3"/>
        <v>0.14403155665184136</v>
      </c>
      <c r="N11" s="488"/>
      <c r="O11" s="193"/>
    </row>
    <row r="12" spans="2:15">
      <c r="B12" s="487" t="s">
        <v>454</v>
      </c>
      <c r="C12" s="485">
        <v>162531800000</v>
      </c>
      <c r="D12" s="485">
        <v>166315400000</v>
      </c>
      <c r="E12" s="485">
        <v>169534600000</v>
      </c>
      <c r="F12" s="485">
        <v>176062600000</v>
      </c>
      <c r="G12" s="483">
        <f t="shared" si="0"/>
        <v>3.2141933853112155E-2</v>
      </c>
      <c r="H12" s="284">
        <f t="shared" si="1"/>
        <v>3.0119203596153787E-2</v>
      </c>
      <c r="I12" s="284">
        <f t="shared" si="2"/>
        <v>2.8115559286777503E-2</v>
      </c>
      <c r="J12" s="493">
        <f t="shared" si="3"/>
        <v>2.6738242255985534E-2</v>
      </c>
    </row>
    <row r="13" spans="2:15">
      <c r="B13" s="481" t="s">
        <v>573</v>
      </c>
      <c r="C13" s="479">
        <v>-55549100000</v>
      </c>
      <c r="D13" s="479">
        <v>-27528100000</v>
      </c>
      <c r="E13" s="479">
        <v>6118800000</v>
      </c>
      <c r="F13" s="479">
        <v>46189800000</v>
      </c>
      <c r="G13" s="477">
        <f t="shared" si="0"/>
        <v>-1.098526871541392E-2</v>
      </c>
      <c r="H13" s="476">
        <f t="shared" si="1"/>
        <v>-4.9852536116035025E-3</v>
      </c>
      <c r="I13" s="476">
        <f t="shared" si="2"/>
        <v>1.0147396706273184E-3</v>
      </c>
      <c r="J13" s="492">
        <f t="shared" si="3"/>
        <v>7.0147439726297384E-3</v>
      </c>
    </row>
    <row r="14" spans="2:15">
      <c r="B14" s="474" t="s">
        <v>536</v>
      </c>
      <c r="C14" s="472">
        <v>-218080900000</v>
      </c>
      <c r="D14" s="472">
        <v>-193843500000</v>
      </c>
      <c r="E14" s="472">
        <v>-163415800000</v>
      </c>
      <c r="F14" s="472">
        <v>-129872800000</v>
      </c>
      <c r="G14" s="470">
        <f t="shared" si="0"/>
        <v>-4.3127202568526077E-2</v>
      </c>
      <c r="H14" s="469">
        <f t="shared" si="1"/>
        <v>-3.5104457207757289E-2</v>
      </c>
      <c r="I14" s="469">
        <f t="shared" si="2"/>
        <v>-2.7100819616150185E-2</v>
      </c>
      <c r="J14" s="491">
        <f t="shared" si="3"/>
        <v>-1.9723498283355796E-2</v>
      </c>
    </row>
    <row r="15" spans="2:15">
      <c r="B15" s="495" t="s">
        <v>586</v>
      </c>
    </row>
    <row r="16" spans="2:15">
      <c r="D16" s="193"/>
      <c r="E16" s="193"/>
      <c r="F16" s="193"/>
    </row>
    <row r="19" spans="4:6">
      <c r="D19" s="193"/>
      <c r="E19" s="193"/>
      <c r="F19" s="193"/>
    </row>
  </sheetData>
  <mergeCells count="3">
    <mergeCell ref="B5:B6"/>
    <mergeCell ref="C5:F5"/>
    <mergeCell ref="G5:J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9"/>
  <sheetViews>
    <sheetView showGridLines="0" workbookViewId="0">
      <selection activeCell="A8" sqref="A8"/>
    </sheetView>
  </sheetViews>
  <sheetFormatPr baseColWidth="10" defaultColWidth="9.140625" defaultRowHeight="15"/>
  <cols>
    <col min="2" max="2" width="31.7109375" bestFit="1" customWidth="1"/>
    <col min="3" max="3" width="12.42578125" customWidth="1"/>
    <col min="4" max="4" width="10.7109375" customWidth="1"/>
    <col min="5" max="5" width="14.85546875" customWidth="1"/>
    <col min="6" max="6" width="10.28515625" customWidth="1"/>
  </cols>
  <sheetData>
    <row r="2" spans="2:12">
      <c r="B2" s="506" t="s">
        <v>5</v>
      </c>
      <c r="C2" s="506"/>
      <c r="D2" s="506"/>
      <c r="E2" s="506"/>
      <c r="F2" s="506"/>
      <c r="G2" s="506"/>
      <c r="H2" s="10"/>
      <c r="I2" s="10"/>
      <c r="J2" s="10"/>
      <c r="K2" s="10"/>
      <c r="L2" s="10"/>
    </row>
    <row r="3" spans="2:12">
      <c r="B3" s="507" t="s">
        <v>21</v>
      </c>
      <c r="C3" s="507"/>
      <c r="D3" s="507"/>
      <c r="E3" s="507"/>
      <c r="F3" s="507"/>
      <c r="G3" s="507"/>
    </row>
    <row r="4" spans="2:12">
      <c r="B4" s="507" t="s">
        <v>6</v>
      </c>
      <c r="C4" s="507"/>
      <c r="D4" s="507"/>
      <c r="E4" s="507"/>
      <c r="F4" s="507"/>
      <c r="G4" s="507"/>
      <c r="H4" s="11"/>
      <c r="I4" s="11"/>
      <c r="J4" s="11"/>
      <c r="K4" s="11"/>
      <c r="L4" s="11"/>
    </row>
    <row r="6" spans="2:12">
      <c r="B6" s="508" t="s">
        <v>7</v>
      </c>
      <c r="C6" s="508" t="s">
        <v>8</v>
      </c>
      <c r="D6" s="508"/>
      <c r="E6" s="509" t="s">
        <v>9</v>
      </c>
      <c r="F6" s="508" t="s">
        <v>8</v>
      </c>
      <c r="G6" s="508"/>
    </row>
    <row r="7" spans="2:12" ht="27" customHeight="1">
      <c r="B7" s="508"/>
      <c r="C7" s="508" t="s">
        <v>10</v>
      </c>
      <c r="D7" s="508"/>
      <c r="E7" s="509"/>
      <c r="F7" s="508" t="s">
        <v>11</v>
      </c>
      <c r="G7" s="508"/>
    </row>
    <row r="8" spans="2:12">
      <c r="B8" s="508"/>
      <c r="C8" s="2">
        <v>2019</v>
      </c>
      <c r="D8" s="2">
        <v>2020</v>
      </c>
      <c r="E8" s="510"/>
      <c r="F8" s="2">
        <v>2019</v>
      </c>
      <c r="G8" s="2">
        <v>2020</v>
      </c>
    </row>
    <row r="9" spans="2:12">
      <c r="B9" s="3" t="s">
        <v>12</v>
      </c>
      <c r="C9" s="4">
        <v>4.9534416143439017</v>
      </c>
      <c r="D9" s="4">
        <v>2.6279722255732452</v>
      </c>
      <c r="E9" s="4">
        <f>D9-C9</f>
        <v>-2.3254693887706566</v>
      </c>
      <c r="F9" s="4">
        <v>3.8699798918885309</v>
      </c>
      <c r="G9" s="4">
        <v>2.1581639500127405</v>
      </c>
    </row>
    <row r="10" spans="2:12">
      <c r="B10" s="5" t="s">
        <v>13</v>
      </c>
      <c r="C10" s="6">
        <v>4.7670176146755665</v>
      </c>
      <c r="D10" s="6">
        <v>1.7666656367384803</v>
      </c>
      <c r="E10" s="6">
        <f t="shared" ref="E10:E17" si="0">D10-C10</f>
        <v>-3.0003519779370862</v>
      </c>
      <c r="F10" s="6">
        <v>3.2716256387614697</v>
      </c>
      <c r="G10" s="6">
        <v>1.1843383348362371</v>
      </c>
    </row>
    <row r="11" spans="2:12">
      <c r="B11" s="5" t="s">
        <v>14</v>
      </c>
      <c r="C11" s="6">
        <v>6.1239074164467979</v>
      </c>
      <c r="D11" s="6">
        <v>9.6643227471732587</v>
      </c>
      <c r="E11" s="6">
        <f t="shared" si="0"/>
        <v>3.5404153307264608</v>
      </c>
      <c r="F11" s="6">
        <v>0.59835425312706092</v>
      </c>
      <c r="G11" s="6">
        <v>0.97382561517650357</v>
      </c>
    </row>
    <row r="12" spans="2:12">
      <c r="B12" s="3" t="s">
        <v>15</v>
      </c>
      <c r="C12" s="4"/>
      <c r="D12" s="4"/>
      <c r="E12" s="4"/>
      <c r="F12" s="4">
        <v>2.308907213489412</v>
      </c>
      <c r="G12" s="4">
        <v>0.42305403175704104</v>
      </c>
    </row>
    <row r="13" spans="2:12">
      <c r="B13" s="5" t="s">
        <v>16</v>
      </c>
      <c r="C13" s="6">
        <v>9.9651374228327825</v>
      </c>
      <c r="D13" s="6">
        <v>0.69558241959902034</v>
      </c>
      <c r="E13" s="6">
        <f t="shared" si="0"/>
        <v>-9.2695550032337621</v>
      </c>
      <c r="F13" s="6">
        <v>2.2922738408186696</v>
      </c>
      <c r="G13" s="6">
        <v>0.1725326812570469</v>
      </c>
    </row>
    <row r="14" spans="2:12">
      <c r="B14" s="5" t="s">
        <v>17</v>
      </c>
      <c r="C14" s="6"/>
      <c r="D14" s="6"/>
      <c r="E14" s="6"/>
      <c r="F14" s="6">
        <v>1.6633372670742386E-2</v>
      </c>
      <c r="G14" s="6">
        <v>0.25052135049999413</v>
      </c>
    </row>
    <row r="15" spans="2:12">
      <c r="B15" s="3" t="s">
        <v>18</v>
      </c>
      <c r="C15" s="4">
        <v>6.2007883971977265</v>
      </c>
      <c r="D15" s="4">
        <v>-11.163606446193484</v>
      </c>
      <c r="E15" s="4">
        <f t="shared" si="0"/>
        <v>-17.36439484339121</v>
      </c>
      <c r="F15" s="4">
        <v>1.5273279926017809</v>
      </c>
      <c r="G15" s="4">
        <v>-2.757727058396104</v>
      </c>
    </row>
    <row r="16" spans="2:12">
      <c r="B16" s="3" t="s">
        <v>19</v>
      </c>
      <c r="C16" s="4">
        <v>7.1751261132721567</v>
      </c>
      <c r="D16" s="4">
        <v>-0.66194361220436804</v>
      </c>
      <c r="E16" s="4">
        <f t="shared" si="0"/>
        <v>-7.8370697254765247</v>
      </c>
      <c r="F16" s="4">
        <v>-1.975017753407728</v>
      </c>
      <c r="G16" s="4">
        <v>0.18053484890794483</v>
      </c>
    </row>
    <row r="17" spans="2:7">
      <c r="B17" s="7" t="s">
        <v>20</v>
      </c>
      <c r="C17" s="8">
        <v>5.7311973445719957</v>
      </c>
      <c r="D17" s="8">
        <v>4.0257722816221531E-3</v>
      </c>
      <c r="E17" s="8">
        <f t="shared" si="0"/>
        <v>-5.7271715722903735</v>
      </c>
      <c r="F17" s="8">
        <v>5.7311973445719957</v>
      </c>
      <c r="G17" s="8">
        <v>4.0257722816221531E-3</v>
      </c>
    </row>
    <row r="18" spans="2:7" ht="15" customHeight="1">
      <c r="B18" s="1" t="s">
        <v>22</v>
      </c>
      <c r="C18" s="1"/>
      <c r="D18" s="1"/>
      <c r="E18" s="1"/>
      <c r="F18" s="1"/>
      <c r="G18" s="9"/>
    </row>
    <row r="19" spans="2:7">
      <c r="B19" s="1" t="s">
        <v>4</v>
      </c>
    </row>
  </sheetData>
  <mergeCells count="9">
    <mergeCell ref="B2:G2"/>
    <mergeCell ref="B3:G3"/>
    <mergeCell ref="B4:G4"/>
    <mergeCell ref="B6:B8"/>
    <mergeCell ref="C6:D6"/>
    <mergeCell ref="E6:E8"/>
    <mergeCell ref="F6:G6"/>
    <mergeCell ref="C7:D7"/>
    <mergeCell ref="F7:G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0"/>
  <sheetViews>
    <sheetView showGridLines="0" zoomScale="70" zoomScaleNormal="70" workbookViewId="0">
      <selection activeCell="B2" sqref="B2:G3"/>
    </sheetView>
  </sheetViews>
  <sheetFormatPr baseColWidth="10" defaultColWidth="9.140625" defaultRowHeight="15"/>
  <cols>
    <col min="2" max="2" width="56" customWidth="1"/>
    <col min="3" max="3" width="14.7109375" customWidth="1"/>
    <col min="4" max="4" width="14.28515625" customWidth="1"/>
    <col min="5" max="5" width="11.85546875" customWidth="1"/>
    <col min="6" max="6" width="13" customWidth="1"/>
  </cols>
  <sheetData>
    <row r="2" spans="2:7">
      <c r="B2" s="506" t="s">
        <v>24</v>
      </c>
      <c r="C2" s="506"/>
      <c r="D2" s="506"/>
      <c r="E2" s="506"/>
      <c r="F2" s="506"/>
      <c r="G2" s="506"/>
    </row>
    <row r="3" spans="2:7">
      <c r="B3" s="507" t="s">
        <v>23</v>
      </c>
      <c r="C3" s="507"/>
      <c r="D3" s="507"/>
      <c r="E3" s="507"/>
      <c r="F3" s="507"/>
      <c r="G3" s="507"/>
    </row>
    <row r="6" spans="2:7">
      <c r="B6" s="508" t="s">
        <v>25</v>
      </c>
      <c r="C6" s="511" t="s">
        <v>8</v>
      </c>
      <c r="D6" s="512"/>
      <c r="E6" s="512"/>
      <c r="F6" s="513"/>
    </row>
    <row r="7" spans="2:7">
      <c r="B7" s="508"/>
      <c r="C7" s="508" t="s">
        <v>10</v>
      </c>
      <c r="D7" s="508"/>
      <c r="E7" s="508" t="s">
        <v>11</v>
      </c>
      <c r="F7" s="508"/>
    </row>
    <row r="8" spans="2:7">
      <c r="B8" s="508"/>
      <c r="C8" s="2">
        <v>2019</v>
      </c>
      <c r="D8" s="2">
        <v>2020</v>
      </c>
      <c r="E8" s="2">
        <v>2019</v>
      </c>
      <c r="F8" s="2">
        <v>2020</v>
      </c>
    </row>
    <row r="9" spans="2:7">
      <c r="B9" s="3" t="s">
        <v>26</v>
      </c>
      <c r="C9" s="4">
        <v>3.6210656738245035</v>
      </c>
      <c r="D9" s="12">
        <v>4.9678317196114392</v>
      </c>
      <c r="E9" s="4">
        <v>0.19206135099359653</v>
      </c>
      <c r="F9" s="4">
        <v>0.24533569267411282</v>
      </c>
    </row>
    <row r="10" spans="2:7">
      <c r="B10" s="5" t="s">
        <v>27</v>
      </c>
      <c r="C10" s="6">
        <v>3.4818609424465592</v>
      </c>
      <c r="D10" s="6">
        <v>5.9518461738253308</v>
      </c>
      <c r="E10" s="6">
        <v>0.12204556019016852</v>
      </c>
      <c r="F10" s="6">
        <v>0.18538076090237141</v>
      </c>
    </row>
    <row r="11" spans="2:7">
      <c r="B11" s="5" t="s">
        <v>28</v>
      </c>
      <c r="C11" s="6">
        <v>3.8923202855912962</v>
      </c>
      <c r="D11" s="6">
        <v>3.3747035406545649</v>
      </c>
      <c r="E11" s="6">
        <v>7.0015790803428013E-2</v>
      </c>
      <c r="F11" s="22">
        <v>5.9954931771741396E-2</v>
      </c>
    </row>
    <row r="12" spans="2:7">
      <c r="B12" s="3" t="s">
        <v>29</v>
      </c>
      <c r="C12" s="4">
        <v>6.9224233138207865</v>
      </c>
      <c r="D12" s="4">
        <v>-2.1713057820865629</v>
      </c>
      <c r="E12" s="4">
        <v>1.7755708569943185</v>
      </c>
      <c r="F12" s="23">
        <v>-0.57910066516414083</v>
      </c>
    </row>
    <row r="13" spans="2:7">
      <c r="B13" s="13" t="s">
        <v>30</v>
      </c>
      <c r="C13" s="4">
        <v>5.8016774741087573</v>
      </c>
      <c r="D13" s="4">
        <v>-9.6213493202075</v>
      </c>
      <c r="E13" s="4">
        <v>0.10493749705587203</v>
      </c>
      <c r="F13" s="23">
        <v>-0.1663910107691369</v>
      </c>
    </row>
    <row r="14" spans="2:7">
      <c r="B14" s="13" t="s">
        <v>31</v>
      </c>
      <c r="C14" s="4">
        <v>2.5028233425413049</v>
      </c>
      <c r="D14" s="4">
        <v>-1.381086013141271</v>
      </c>
      <c r="E14" s="4">
        <v>0.28314384682869115</v>
      </c>
      <c r="F14" s="23">
        <v>-0.18897211854738047</v>
      </c>
    </row>
    <row r="15" spans="2:7">
      <c r="B15" s="14" t="s">
        <v>32</v>
      </c>
      <c r="C15" s="6">
        <v>3.3367784816896489</v>
      </c>
      <c r="D15" s="6">
        <v>2.5239872865398922</v>
      </c>
      <c r="E15" s="6">
        <v>0.14010821392169764</v>
      </c>
      <c r="F15" s="22">
        <v>0.10442823827367789</v>
      </c>
    </row>
    <row r="16" spans="2:7">
      <c r="B16" s="14" t="s">
        <v>33</v>
      </c>
      <c r="C16" s="6">
        <v>3.7746525117886591</v>
      </c>
      <c r="D16" s="6">
        <v>-9.3789049774863713</v>
      </c>
      <c r="E16" s="6">
        <v>4.8187827074011758E-2</v>
      </c>
      <c r="F16" s="22">
        <v>-0.11322928564439161</v>
      </c>
    </row>
    <row r="17" spans="2:6" ht="26.25">
      <c r="B17" s="15" t="s">
        <v>34</v>
      </c>
      <c r="C17" s="6">
        <v>-2.5350844753527184</v>
      </c>
      <c r="D17" s="6">
        <v>1.0451401196871046</v>
      </c>
      <c r="E17" s="6">
        <v>-2.6666971412625706E-2</v>
      </c>
      <c r="F17" s="22">
        <v>1.0432090122731037E-2</v>
      </c>
    </row>
    <row r="18" spans="2:6">
      <c r="B18" s="14" t="s">
        <v>35</v>
      </c>
      <c r="C18" s="6">
        <v>2.9996707268344238</v>
      </c>
      <c r="D18" s="6">
        <v>-4.5344662531352071</v>
      </c>
      <c r="E18" s="6">
        <v>0.12151477724560746</v>
      </c>
      <c r="F18" s="22">
        <v>-0.19060316129939778</v>
      </c>
    </row>
    <row r="19" spans="2:6">
      <c r="B19" s="13" t="s">
        <v>36</v>
      </c>
      <c r="C19" s="4">
        <v>1.6220617640736208</v>
      </c>
      <c r="D19" s="4">
        <v>3.5443892248964772</v>
      </c>
      <c r="E19" s="4">
        <v>5.1861909924924905E-2</v>
      </c>
      <c r="F19" s="23">
        <v>0.1069679534131259</v>
      </c>
    </row>
    <row r="20" spans="2:6">
      <c r="B20" s="13" t="s">
        <v>37</v>
      </c>
      <c r="C20" s="4">
        <v>13.452487756176225</v>
      </c>
      <c r="D20" s="4">
        <v>-3.2487955277426153</v>
      </c>
      <c r="E20" s="4">
        <v>1.3540133716731055</v>
      </c>
      <c r="F20" s="23">
        <v>-0.36961487044310132</v>
      </c>
    </row>
    <row r="21" spans="2:6">
      <c r="B21" s="3" t="s">
        <v>38</v>
      </c>
      <c r="C21" s="4">
        <v>5.2623138360957</v>
      </c>
      <c r="D21" s="4">
        <v>0.95893189283549418</v>
      </c>
      <c r="E21" s="4">
        <v>3.1640948046103596</v>
      </c>
      <c r="F21" s="23">
        <v>0.58388033866404876</v>
      </c>
    </row>
    <row r="22" spans="2:6">
      <c r="B22" s="14" t="s">
        <v>39</v>
      </c>
      <c r="C22" s="6">
        <v>11.298390645373885</v>
      </c>
      <c r="D22" s="16">
        <v>4.9921420074837926</v>
      </c>
      <c r="E22" s="6">
        <v>0.16454151071455014</v>
      </c>
      <c r="F22" s="22">
        <v>7.5484054880192858E-2</v>
      </c>
    </row>
    <row r="23" spans="2:6">
      <c r="B23" s="14" t="s">
        <v>40</v>
      </c>
      <c r="C23" s="6">
        <v>2.5832340673172212</v>
      </c>
      <c r="D23" s="6">
        <v>1.7909775260014982</v>
      </c>
      <c r="E23" s="6">
        <v>0.26014931298498734</v>
      </c>
      <c r="F23" s="22">
        <v>0.17310366112335848</v>
      </c>
    </row>
    <row r="24" spans="2:6">
      <c r="B24" s="14" t="s">
        <v>41</v>
      </c>
      <c r="C24" s="6">
        <v>5.5851922053108609</v>
      </c>
      <c r="D24" s="6">
        <v>-17.429467963107541</v>
      </c>
      <c r="E24" s="6">
        <v>0.4806645562523939</v>
      </c>
      <c r="F24" s="22">
        <v>-1.4733687085605076</v>
      </c>
    </row>
    <row r="25" spans="2:6">
      <c r="B25" s="14" t="s">
        <v>42</v>
      </c>
      <c r="C25" s="6">
        <v>6.318283387263989</v>
      </c>
      <c r="D25" s="6">
        <v>-3.015872721006474</v>
      </c>
      <c r="E25" s="6">
        <v>0.53103856714004405</v>
      </c>
      <c r="F25" s="22">
        <v>-0.25845391315781174</v>
      </c>
    </row>
    <row r="26" spans="2:6">
      <c r="B26" s="14" t="s">
        <v>43</v>
      </c>
      <c r="C26" s="6">
        <v>-5.4958808607674854</v>
      </c>
      <c r="D26" s="6">
        <v>4.5501537131078749</v>
      </c>
      <c r="E26" s="6">
        <v>-5.3343952956393242E-2</v>
      </c>
      <c r="F26" s="22">
        <v>3.8215716870399721E-2</v>
      </c>
    </row>
    <row r="27" spans="2:6">
      <c r="B27" s="14" t="s">
        <v>44</v>
      </c>
      <c r="C27" s="6">
        <v>8.1387560051190206</v>
      </c>
      <c r="D27" s="6">
        <v>8.9819894612688245</v>
      </c>
      <c r="E27" s="6">
        <v>0.36303256959331248</v>
      </c>
      <c r="F27" s="22">
        <v>0.39965831298866583</v>
      </c>
    </row>
    <row r="28" spans="2:6">
      <c r="B28" s="14" t="s">
        <v>45</v>
      </c>
      <c r="C28" s="6">
        <v>4.7107895251036496</v>
      </c>
      <c r="D28" s="16">
        <v>4.9936291992771658</v>
      </c>
      <c r="E28" s="6">
        <v>0.37117150719731806</v>
      </c>
      <c r="F28" s="22">
        <v>0.38568069338859484</v>
      </c>
    </row>
    <row r="29" spans="2:6">
      <c r="B29" s="14" t="s">
        <v>46</v>
      </c>
      <c r="C29" s="6">
        <v>3.6794314517760256</v>
      </c>
      <c r="D29" s="6">
        <v>1.8790156442583452</v>
      </c>
      <c r="E29" s="6">
        <v>0.18312841603226107</v>
      </c>
      <c r="F29" s="22">
        <v>9.908558881764018E-2</v>
      </c>
    </row>
    <row r="30" spans="2:6">
      <c r="B30" s="17" t="s">
        <v>47</v>
      </c>
      <c r="C30" s="6">
        <v>3.049383393914411</v>
      </c>
      <c r="D30" s="6">
        <v>2.0439874858580822</v>
      </c>
      <c r="E30" s="6">
        <v>6.7191345643776476E-2</v>
      </c>
      <c r="F30" s="22">
        <v>4.5045664870859092E-2</v>
      </c>
    </row>
    <row r="31" spans="2:6">
      <c r="B31" s="17" t="s">
        <v>48</v>
      </c>
      <c r="C31" s="6">
        <v>4.0585408923167137</v>
      </c>
      <c r="D31" s="6">
        <v>1.7605689612318685</v>
      </c>
      <c r="E31" s="6">
        <v>0.11593707038848459</v>
      </c>
      <c r="F31" s="22">
        <v>5.403992394678038E-2</v>
      </c>
    </row>
    <row r="32" spans="2:6">
      <c r="B32" s="14" t="s">
        <v>49</v>
      </c>
      <c r="C32" s="6">
        <v>4.5181601474471051</v>
      </c>
      <c r="D32" s="6">
        <v>12.077690150732906</v>
      </c>
      <c r="E32" s="6">
        <v>0.14023625048165156</v>
      </c>
      <c r="F32" s="6">
        <v>0.38258724106739972</v>
      </c>
    </row>
    <row r="33" spans="2:6">
      <c r="B33" s="17" t="s">
        <v>50</v>
      </c>
      <c r="C33" s="6">
        <v>3.1666747720586983</v>
      </c>
      <c r="D33" s="6">
        <v>14.635598482155459</v>
      </c>
      <c r="E33" s="6">
        <v>6.8887141938343999E-2</v>
      </c>
      <c r="F33" s="6">
        <v>0.31178244920974124</v>
      </c>
    </row>
    <row r="34" spans="2:6">
      <c r="B34" s="17" t="s">
        <v>51</v>
      </c>
      <c r="C34" s="6">
        <v>7.1731732038536933</v>
      </c>
      <c r="D34" s="6">
        <v>7.3842744113934486</v>
      </c>
      <c r="E34" s="6">
        <v>7.1349108543307546E-2</v>
      </c>
      <c r="F34" s="6">
        <v>7.6605689777581004E-2</v>
      </c>
    </row>
    <row r="35" spans="2:6">
      <c r="B35" s="14" t="s">
        <v>52</v>
      </c>
      <c r="C35" s="6">
        <v>6.6943214347595443</v>
      </c>
      <c r="D35" s="6">
        <v>3.9952938015830313</v>
      </c>
      <c r="E35" s="6">
        <v>0.50430873473595805</v>
      </c>
      <c r="F35" s="6">
        <v>0.30337224110668293</v>
      </c>
    </row>
    <row r="36" spans="2:6" ht="25.5">
      <c r="B36" s="18" t="s">
        <v>53</v>
      </c>
      <c r="C36" s="6">
        <v>5.740854801395173</v>
      </c>
      <c r="D36" s="6">
        <v>3.0912743042759416</v>
      </c>
      <c r="E36" s="6">
        <v>0.21916733243427647</v>
      </c>
      <c r="F36" s="6">
        <v>0.11255381067043288</v>
      </c>
    </row>
    <row r="37" spans="2:6">
      <c r="B37" s="19" t="s">
        <v>54</v>
      </c>
      <c r="C37" s="4">
        <v>5.5777923018641076</v>
      </c>
      <c r="D37" s="4">
        <v>0.26419977513350545</v>
      </c>
      <c r="E37" s="4">
        <v>5.1529268294172441</v>
      </c>
      <c r="F37" s="4">
        <v>0.25011536617402075</v>
      </c>
    </row>
    <row r="38" spans="2:6">
      <c r="B38" s="19" t="s">
        <v>55</v>
      </c>
      <c r="C38" s="4">
        <v>6.7323502757404157</v>
      </c>
      <c r="D38" s="4">
        <v>-3.2206093298739944</v>
      </c>
      <c r="E38" s="4">
        <v>0.51280919506886091</v>
      </c>
      <c r="F38" s="4">
        <v>-0.24313968149195259</v>
      </c>
    </row>
    <row r="39" spans="2:6">
      <c r="B39" s="20" t="s">
        <v>20</v>
      </c>
      <c r="C39" s="21">
        <v>5.7311973445719957</v>
      </c>
      <c r="D39" s="21">
        <v>4.0257722816221531E-3</v>
      </c>
      <c r="E39" s="21">
        <v>5.7311973445719957</v>
      </c>
      <c r="F39" s="21">
        <v>4.0257722816221531E-3</v>
      </c>
    </row>
    <row r="40" spans="2:6">
      <c r="B40" s="1" t="s">
        <v>4</v>
      </c>
    </row>
  </sheetData>
  <mergeCells count="6">
    <mergeCell ref="B2:G2"/>
    <mergeCell ref="B3:G3"/>
    <mergeCell ref="B6:B8"/>
    <mergeCell ref="C6:F6"/>
    <mergeCell ref="C7:D7"/>
    <mergeCell ref="E7:F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0"/>
  <sheetViews>
    <sheetView showGridLines="0" workbookViewId="0">
      <selection activeCell="B20" sqref="B20"/>
    </sheetView>
  </sheetViews>
  <sheetFormatPr baseColWidth="10" defaultColWidth="9.140625" defaultRowHeight="15"/>
  <sheetData>
    <row r="2" spans="2:12">
      <c r="B2" s="506" t="s">
        <v>56</v>
      </c>
      <c r="C2" s="506"/>
      <c r="D2" s="506"/>
      <c r="E2" s="506"/>
      <c r="F2" s="506"/>
      <c r="G2" s="506"/>
      <c r="H2" s="506"/>
      <c r="I2" s="506"/>
      <c r="J2" s="506"/>
      <c r="K2" s="506"/>
      <c r="L2" s="506"/>
    </row>
    <row r="3" spans="2:12">
      <c r="B3" s="507" t="s">
        <v>57</v>
      </c>
      <c r="C3" s="507"/>
      <c r="D3" s="507"/>
      <c r="E3" s="507"/>
      <c r="F3" s="507"/>
      <c r="G3" s="507"/>
      <c r="H3" s="507"/>
      <c r="I3" s="507"/>
      <c r="J3" s="507"/>
      <c r="K3" s="507"/>
      <c r="L3" s="507"/>
    </row>
    <row r="20" spans="2:2">
      <c r="B20" s="1" t="s">
        <v>4</v>
      </c>
    </row>
  </sheetData>
  <mergeCells count="2">
    <mergeCell ref="B2:L2"/>
    <mergeCell ref="B3:L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7"/>
  <sheetViews>
    <sheetView showGridLines="0" topLeftCell="B1" workbookViewId="0">
      <selection activeCell="B3" sqref="B3:F3"/>
    </sheetView>
  </sheetViews>
  <sheetFormatPr baseColWidth="10" defaultColWidth="9.140625" defaultRowHeight="15"/>
  <cols>
    <col min="2" max="2" width="30.28515625" bestFit="1" customWidth="1"/>
    <col min="3" max="4" width="11" customWidth="1"/>
    <col min="5" max="5" width="19.85546875" customWidth="1"/>
    <col min="6" max="6" width="16.5703125" customWidth="1"/>
  </cols>
  <sheetData>
    <row r="2" spans="2:12" ht="15" customHeight="1">
      <c r="B2" s="506" t="s">
        <v>58</v>
      </c>
      <c r="C2" s="506"/>
      <c r="D2" s="506"/>
      <c r="E2" s="506"/>
      <c r="F2" s="506"/>
      <c r="G2" s="10"/>
      <c r="H2" s="10"/>
      <c r="I2" s="10"/>
      <c r="J2" s="10"/>
      <c r="K2" s="10"/>
      <c r="L2" s="10"/>
    </row>
    <row r="3" spans="2:12">
      <c r="B3" s="507" t="s">
        <v>6</v>
      </c>
      <c r="C3" s="507"/>
      <c r="D3" s="507"/>
      <c r="E3" s="507"/>
      <c r="F3" s="507"/>
      <c r="G3" s="11"/>
      <c r="H3" s="11"/>
      <c r="I3" s="11"/>
      <c r="J3" s="11"/>
      <c r="K3" s="11"/>
      <c r="L3" s="11"/>
    </row>
    <row r="6" spans="2:12">
      <c r="B6" s="514" t="s">
        <v>59</v>
      </c>
      <c r="C6" s="514">
        <v>2019</v>
      </c>
      <c r="D6" s="514">
        <v>2020</v>
      </c>
      <c r="E6" s="516" t="s">
        <v>60</v>
      </c>
      <c r="F6" s="516" t="s">
        <v>61</v>
      </c>
    </row>
    <row r="7" spans="2:12">
      <c r="B7" s="515"/>
      <c r="C7" s="515"/>
      <c r="D7" s="515"/>
      <c r="E7" s="517"/>
      <c r="F7" s="517"/>
    </row>
    <row r="8" spans="2:12">
      <c r="B8" s="515"/>
      <c r="C8" s="515"/>
      <c r="D8" s="515"/>
      <c r="E8" s="517"/>
      <c r="F8" s="517"/>
    </row>
    <row r="9" spans="2:12" ht="15.75">
      <c r="B9" s="24" t="s">
        <v>62</v>
      </c>
      <c r="C9" s="25">
        <v>283.49999999999932</v>
      </c>
      <c r="D9" s="25">
        <v>-67.899999999999636</v>
      </c>
      <c r="E9" s="25">
        <f>D9-C9</f>
        <v>-351.39999999999895</v>
      </c>
      <c r="F9" s="26">
        <f>D9/C9-1</f>
        <v>-1.2395061728395054</v>
      </c>
    </row>
    <row r="10" spans="2:12">
      <c r="B10" s="27" t="s">
        <v>63</v>
      </c>
      <c r="C10" s="28">
        <v>-387.40000000000055</v>
      </c>
      <c r="D10" s="28">
        <v>-721.29999999999973</v>
      </c>
      <c r="E10" s="28">
        <f t="shared" ref="E10:E16" si="0">D10-C10</f>
        <v>-333.89999999999918</v>
      </c>
      <c r="F10" s="29">
        <f t="shared" ref="F10:F15" si="1">D10/C10-1</f>
        <v>0.86189984512131823</v>
      </c>
    </row>
    <row r="11" spans="2:12">
      <c r="B11" s="30" t="s">
        <v>64</v>
      </c>
      <c r="C11" s="31">
        <v>-2135.5000000000005</v>
      </c>
      <c r="D11" s="31">
        <v>-1861.1</v>
      </c>
      <c r="E11" s="31">
        <f t="shared" si="0"/>
        <v>274.40000000000055</v>
      </c>
      <c r="F11" s="32">
        <f t="shared" si="1"/>
        <v>-0.12849449777569677</v>
      </c>
    </row>
    <row r="12" spans="2:12">
      <c r="B12" s="30" t="s">
        <v>65</v>
      </c>
      <c r="C12" s="31">
        <v>1748.1</v>
      </c>
      <c r="D12" s="33">
        <v>1139.8000000000002</v>
      </c>
      <c r="E12" s="33">
        <f t="shared" si="0"/>
        <v>-608.29999999999973</v>
      </c>
      <c r="F12" s="32">
        <f t="shared" si="1"/>
        <v>-0.34797780447342819</v>
      </c>
    </row>
    <row r="13" spans="2:12">
      <c r="B13" s="27" t="s">
        <v>66</v>
      </c>
      <c r="C13" s="34">
        <v>-1003.2</v>
      </c>
      <c r="D13" s="35">
        <v>-977.50000000000011</v>
      </c>
      <c r="E13" s="35">
        <f t="shared" si="0"/>
        <v>25.699999999999932</v>
      </c>
      <c r="F13" s="36">
        <f t="shared" si="1"/>
        <v>-2.5618022328548595E-2</v>
      </c>
    </row>
    <row r="14" spans="2:12">
      <c r="B14" s="30" t="s">
        <v>67</v>
      </c>
      <c r="C14" s="31">
        <v>24.999999999999993</v>
      </c>
      <c r="D14" s="31">
        <v>0.29999999999999716</v>
      </c>
      <c r="E14" s="31">
        <f t="shared" si="0"/>
        <v>-24.699999999999996</v>
      </c>
      <c r="F14" s="37">
        <f t="shared" si="1"/>
        <v>-0.9880000000000001</v>
      </c>
    </row>
    <row r="15" spans="2:12">
      <c r="B15" s="30" t="s">
        <v>68</v>
      </c>
      <c r="C15" s="31">
        <v>-1028.2</v>
      </c>
      <c r="D15" s="33">
        <v>-977.80000000000007</v>
      </c>
      <c r="E15" s="33">
        <f t="shared" si="0"/>
        <v>50.399999999999977</v>
      </c>
      <c r="F15" s="37">
        <f t="shared" si="1"/>
        <v>-4.9017700836413103E-2</v>
      </c>
    </row>
    <row r="16" spans="2:12">
      <c r="B16" s="38" t="s">
        <v>69</v>
      </c>
      <c r="C16" s="39">
        <v>1674.1</v>
      </c>
      <c r="D16" s="40">
        <v>1630.9</v>
      </c>
      <c r="E16" s="40">
        <f t="shared" si="0"/>
        <v>-43.199999999999818</v>
      </c>
      <c r="F16" s="41">
        <f>D16/C16-1</f>
        <v>-2.5804910100949652E-2</v>
      </c>
    </row>
    <row r="17" spans="2:2">
      <c r="B17" s="1" t="s">
        <v>4</v>
      </c>
    </row>
  </sheetData>
  <mergeCells count="7">
    <mergeCell ref="B2:F2"/>
    <mergeCell ref="B3:F3"/>
    <mergeCell ref="B6:B8"/>
    <mergeCell ref="C6:C8"/>
    <mergeCell ref="D6:D8"/>
    <mergeCell ref="E6:E8"/>
    <mergeCell ref="F6:F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3"/>
  <sheetViews>
    <sheetView showGridLines="0" workbookViewId="0">
      <selection activeCell="C15" sqref="C15"/>
    </sheetView>
  </sheetViews>
  <sheetFormatPr baseColWidth="10" defaultColWidth="9.140625" defaultRowHeight="15"/>
  <cols>
    <col min="2" max="2" width="30.28515625" bestFit="1" customWidth="1"/>
    <col min="3" max="4" width="11" customWidth="1"/>
    <col min="5" max="5" width="19.85546875" customWidth="1"/>
    <col min="6" max="6" width="16.5703125" customWidth="1"/>
  </cols>
  <sheetData>
    <row r="2" spans="2:12" ht="15" customHeight="1">
      <c r="B2" s="506" t="s">
        <v>74</v>
      </c>
      <c r="C2" s="506"/>
      <c r="D2" s="506"/>
      <c r="E2" s="506"/>
      <c r="F2" s="506"/>
      <c r="G2" s="10"/>
      <c r="H2" s="10"/>
      <c r="I2" s="10"/>
      <c r="J2" s="10"/>
      <c r="K2" s="10"/>
      <c r="L2" s="10"/>
    </row>
    <row r="3" spans="2:12">
      <c r="B3" s="507" t="s">
        <v>6</v>
      </c>
      <c r="C3" s="507"/>
      <c r="D3" s="507"/>
      <c r="E3" s="507"/>
      <c r="F3" s="507"/>
      <c r="G3" s="11"/>
      <c r="H3" s="11"/>
      <c r="I3" s="11"/>
      <c r="J3" s="11"/>
      <c r="K3" s="11"/>
      <c r="L3" s="11"/>
    </row>
    <row r="6" spans="2:12">
      <c r="B6" s="514" t="s">
        <v>59</v>
      </c>
      <c r="C6" s="514">
        <v>2019</v>
      </c>
      <c r="D6" s="514">
        <v>2020</v>
      </c>
      <c r="E6" s="516" t="s">
        <v>60</v>
      </c>
      <c r="F6" s="516" t="s">
        <v>61</v>
      </c>
    </row>
    <row r="7" spans="2:12">
      <c r="B7" s="515"/>
      <c r="C7" s="515"/>
      <c r="D7" s="515"/>
      <c r="E7" s="517"/>
      <c r="F7" s="517"/>
    </row>
    <row r="8" spans="2:12">
      <c r="B8" s="515"/>
      <c r="C8" s="515"/>
      <c r="D8" s="515"/>
      <c r="E8" s="517"/>
      <c r="F8" s="517"/>
    </row>
    <row r="9" spans="2:12" ht="15.75">
      <c r="B9" s="24" t="s">
        <v>70</v>
      </c>
      <c r="C9" s="25">
        <v>-580.40000000000009</v>
      </c>
      <c r="D9" s="25">
        <v>-1126.3000000000002</v>
      </c>
      <c r="E9" s="25">
        <f>D9-C9</f>
        <v>-545.90000000000009</v>
      </c>
      <c r="F9" s="26">
        <f>D9/C9-1</f>
        <v>0.94055823569951769</v>
      </c>
    </row>
    <row r="10" spans="2:12">
      <c r="B10" s="42" t="s">
        <v>71</v>
      </c>
      <c r="C10" s="28">
        <v>-936</v>
      </c>
      <c r="D10" s="28">
        <v>-758.4</v>
      </c>
      <c r="E10" s="28">
        <f>D10-C10</f>
        <v>177.60000000000002</v>
      </c>
      <c r="F10" s="29">
        <f>D10/C10-1</f>
        <v>-0.18974358974358974</v>
      </c>
    </row>
    <row r="11" spans="2:12">
      <c r="B11" s="42" t="s">
        <v>72</v>
      </c>
      <c r="C11" s="28">
        <v>-44</v>
      </c>
      <c r="D11" s="28">
        <v>-2517.9</v>
      </c>
      <c r="E11" s="28">
        <f>D11-C11</f>
        <v>-2473.9</v>
      </c>
      <c r="F11" s="29">
        <f>D11/C11-1</f>
        <v>56.225000000000001</v>
      </c>
    </row>
    <row r="12" spans="2:12">
      <c r="B12" s="43" t="s">
        <v>73</v>
      </c>
      <c r="C12" s="39">
        <v>399.6</v>
      </c>
      <c r="D12" s="40">
        <v>2150</v>
      </c>
      <c r="E12" s="40">
        <f>D12-C12</f>
        <v>1750.4</v>
      </c>
      <c r="F12" s="41">
        <f>D12/C12-1</f>
        <v>4.3803803803803802</v>
      </c>
    </row>
    <row r="13" spans="2:12">
      <c r="B13" s="1" t="s">
        <v>4</v>
      </c>
    </row>
  </sheetData>
  <mergeCells count="7">
    <mergeCell ref="B2:F2"/>
    <mergeCell ref="B3:F3"/>
    <mergeCell ref="B6:B8"/>
    <mergeCell ref="C6:C8"/>
    <mergeCell ref="D6:D8"/>
    <mergeCell ref="E6:E8"/>
    <mergeCell ref="F6:F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7"/>
  <sheetViews>
    <sheetView showGridLines="0" workbookViewId="0">
      <selection activeCell="B17" sqref="B17"/>
    </sheetView>
  </sheetViews>
  <sheetFormatPr baseColWidth="10" defaultColWidth="9.140625" defaultRowHeight="15"/>
  <cols>
    <col min="2" max="2" width="30.28515625" bestFit="1" customWidth="1"/>
    <col min="3" max="4" width="11" customWidth="1"/>
    <col min="5" max="5" width="19.85546875" customWidth="1"/>
    <col min="6" max="6" width="16.5703125" customWidth="1"/>
  </cols>
  <sheetData>
    <row r="2" spans="2:12" ht="15" customHeight="1">
      <c r="B2" s="506" t="s">
        <v>75</v>
      </c>
      <c r="C2" s="506"/>
      <c r="D2" s="506"/>
      <c r="E2" s="506"/>
      <c r="F2" s="506"/>
      <c r="G2" s="10"/>
      <c r="H2" s="10"/>
      <c r="I2" s="10"/>
      <c r="J2" s="10"/>
      <c r="K2" s="10"/>
      <c r="L2" s="10"/>
    </row>
    <row r="3" spans="2:12">
      <c r="B3" s="507" t="s">
        <v>6</v>
      </c>
      <c r="C3" s="507"/>
      <c r="D3" s="507"/>
      <c r="E3" s="507"/>
      <c r="F3" s="507"/>
      <c r="G3" s="11"/>
      <c r="H3" s="11"/>
      <c r="I3" s="11"/>
      <c r="J3" s="11"/>
      <c r="K3" s="11"/>
      <c r="L3" s="11"/>
    </row>
    <row r="6" spans="2:12">
      <c r="B6" s="514" t="s">
        <v>59</v>
      </c>
      <c r="C6" s="514">
        <v>2019</v>
      </c>
      <c r="D6" s="514">
        <v>2020</v>
      </c>
      <c r="E6" s="516" t="s">
        <v>60</v>
      </c>
      <c r="F6" s="516" t="s">
        <v>61</v>
      </c>
    </row>
    <row r="7" spans="2:12">
      <c r="B7" s="515"/>
      <c r="C7" s="515"/>
      <c r="D7" s="515"/>
      <c r="E7" s="517"/>
      <c r="F7" s="517"/>
    </row>
    <row r="8" spans="2:12">
      <c r="B8" s="515"/>
      <c r="C8" s="515"/>
      <c r="D8" s="515"/>
      <c r="E8" s="517"/>
      <c r="F8" s="517"/>
    </row>
    <row r="9" spans="2:12" ht="15.75">
      <c r="B9" s="44" t="s">
        <v>76</v>
      </c>
      <c r="C9" s="45">
        <v>7989.2</v>
      </c>
      <c r="D9" s="45">
        <v>7252.8</v>
      </c>
      <c r="E9" s="45">
        <v>-736.39999999999964</v>
      </c>
      <c r="F9" s="46">
        <v>-9.2174435487908601E-2</v>
      </c>
    </row>
    <row r="10" spans="2:12">
      <c r="B10" s="47" t="s">
        <v>77</v>
      </c>
      <c r="C10" s="48">
        <v>2655.4</v>
      </c>
      <c r="D10" s="48">
        <v>2723.4</v>
      </c>
      <c r="E10" s="48">
        <f>D10-C10</f>
        <v>68</v>
      </c>
      <c r="F10" s="49">
        <f>D10/C10-1</f>
        <v>2.5608194622279035E-2</v>
      </c>
    </row>
    <row r="11" spans="2:12">
      <c r="B11" s="50" t="s">
        <v>78</v>
      </c>
      <c r="C11" s="51">
        <v>1202.6000000000001</v>
      </c>
      <c r="D11" s="51">
        <v>1249.3</v>
      </c>
      <c r="E11" s="51">
        <f t="shared" ref="E11:E16" si="0">D11-C11</f>
        <v>46.699999999999818</v>
      </c>
      <c r="F11" s="52">
        <f t="shared" ref="F11:F16" si="1">D11/C11-1</f>
        <v>3.8832529519374548E-2</v>
      </c>
    </row>
    <row r="12" spans="2:12">
      <c r="B12" s="50" t="s">
        <v>79</v>
      </c>
      <c r="C12" s="51">
        <v>1452.8</v>
      </c>
      <c r="D12" s="51">
        <v>1474.1000000000001</v>
      </c>
      <c r="E12" s="51">
        <f t="shared" si="0"/>
        <v>21.300000000000182</v>
      </c>
      <c r="F12" s="52">
        <f t="shared" si="1"/>
        <v>1.4661343612334843E-2</v>
      </c>
    </row>
    <row r="13" spans="2:12">
      <c r="B13" s="53" t="s">
        <v>80</v>
      </c>
      <c r="C13" s="54">
        <v>2178.6999999999998</v>
      </c>
      <c r="D13" s="54">
        <v>1610.6</v>
      </c>
      <c r="E13" s="54">
        <f t="shared" si="0"/>
        <v>-568.09999999999991</v>
      </c>
      <c r="F13" s="55">
        <f t="shared" si="1"/>
        <v>-0.26075182448248957</v>
      </c>
    </row>
    <row r="14" spans="2:12">
      <c r="B14" s="53" t="s">
        <v>81</v>
      </c>
      <c r="C14" s="54">
        <v>475.90000000000009</v>
      </c>
      <c r="D14" s="54">
        <v>457.20000000000027</v>
      </c>
      <c r="E14" s="54">
        <f t="shared" si="0"/>
        <v>-18.699999999999818</v>
      </c>
      <c r="F14" s="55">
        <f t="shared" si="1"/>
        <v>-3.9293969321285593E-2</v>
      </c>
    </row>
    <row r="15" spans="2:12">
      <c r="B15" s="53" t="s">
        <v>82</v>
      </c>
      <c r="C15" s="54">
        <v>1743.2</v>
      </c>
      <c r="D15" s="54">
        <v>1703.2</v>
      </c>
      <c r="E15" s="54">
        <f t="shared" si="0"/>
        <v>-40</v>
      </c>
      <c r="F15" s="55">
        <f t="shared" si="1"/>
        <v>-2.2946305644791165E-2</v>
      </c>
    </row>
    <row r="16" spans="2:12">
      <c r="B16" s="56" t="s">
        <v>83</v>
      </c>
      <c r="C16" s="57">
        <v>936</v>
      </c>
      <c r="D16" s="57">
        <v>758.4</v>
      </c>
      <c r="E16" s="57">
        <f t="shared" si="0"/>
        <v>-177.60000000000002</v>
      </c>
      <c r="F16" s="58">
        <f t="shared" si="1"/>
        <v>-0.18974358974358974</v>
      </c>
    </row>
    <row r="17" spans="2:2">
      <c r="B17" s="1" t="s">
        <v>4</v>
      </c>
    </row>
  </sheetData>
  <mergeCells count="7">
    <mergeCell ref="B2:F2"/>
    <mergeCell ref="B3:F3"/>
    <mergeCell ref="B6:B8"/>
    <mergeCell ref="C6:C8"/>
    <mergeCell ref="D6:D8"/>
    <mergeCell ref="E6:E8"/>
    <mergeCell ref="F6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32</vt:i4>
      </vt:variant>
      <vt:variant>
        <vt:lpstr>Rangos con nombre</vt:lpstr>
      </vt:variant>
      <vt:variant>
        <vt:i4>1</vt:i4>
      </vt:variant>
    </vt:vector>
  </HeadingPairs>
  <TitlesOfParts>
    <vt:vector size="33" baseType="lpstr">
      <vt:lpstr>Cuadro 1</vt:lpstr>
      <vt:lpstr>Gráfico 1</vt:lpstr>
      <vt:lpstr>Gráfico 2</vt:lpstr>
      <vt:lpstr>Cuadro 2</vt:lpstr>
      <vt:lpstr>Cuadro 3</vt:lpstr>
      <vt:lpstr>Gráfico 3</vt:lpstr>
      <vt:lpstr>Cuadro 4</vt:lpstr>
      <vt:lpstr>Cuadro 5</vt:lpstr>
      <vt:lpstr>Cuadro 6</vt:lpstr>
      <vt:lpstr>Cuadro 7</vt:lpstr>
      <vt:lpstr>Cuadro 8</vt:lpstr>
      <vt:lpstr>Gráfico 4</vt:lpstr>
      <vt:lpstr>Gráfico 5</vt:lpstr>
      <vt:lpstr>Cuadro 9</vt:lpstr>
      <vt:lpstr>Cuadro 10</vt:lpstr>
      <vt:lpstr>Cuadro 11</vt:lpstr>
      <vt:lpstr>Gráfico 6</vt:lpstr>
      <vt:lpstr>Cuadro 12 </vt:lpstr>
      <vt:lpstr>Cuadro 13</vt:lpstr>
      <vt:lpstr>Cuadro 14</vt:lpstr>
      <vt:lpstr>Cuadro 15</vt:lpstr>
      <vt:lpstr>Cuadro 16</vt:lpstr>
      <vt:lpstr>Cuadros 17, 18 y 19</vt:lpstr>
      <vt:lpstr>Cuadro 20</vt:lpstr>
      <vt:lpstr>Cuadro 21</vt:lpstr>
      <vt:lpstr>Gráfico 7</vt:lpstr>
      <vt:lpstr>Cuadro 22</vt:lpstr>
      <vt:lpstr>Cuadro 23</vt:lpstr>
      <vt:lpstr>Cuadro 24</vt:lpstr>
      <vt:lpstr>Cuadro 25</vt:lpstr>
      <vt:lpstr>Cuadro 26</vt:lpstr>
      <vt:lpstr>Cuadro 27</vt:lpstr>
      <vt:lpstr>'Cuadro 25'!_Toc45720173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Gonzalez</dc:creator>
  <cp:lastModifiedBy>Juan Elias Portalatin García</cp:lastModifiedBy>
  <dcterms:created xsi:type="dcterms:W3CDTF">2020-07-15T19:56:30Z</dcterms:created>
  <dcterms:modified xsi:type="dcterms:W3CDTF">2020-07-16T22:05:26Z</dcterms:modified>
</cp:coreProperties>
</file>