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RRHH/Shared Documents/General/Registro-Control y Nomina/NOMINA II/NOMINA/NOMINAS PARA PORTAL INSTITUCIONAL/PORTAL 2026/AGOSTO 2026-PORTAL/"/>
    </mc:Choice>
  </mc:AlternateContent>
  <xr:revisionPtr revIDLastSave="1031" documentId="8_{0FF40B5C-66E7-4384-8F41-8B093D85E17E}" xr6:coauthVersionLast="47" xr6:coauthVersionMax="47" xr10:uidLastSave="{6AEA376B-7311-48A9-A3D4-CD6B1F36D914}"/>
  <bookViews>
    <workbookView xWindow="28680" yWindow="-120" windowWidth="29040" windowHeight="15720" tabRatio="603" activeTab="4" xr2:uid="{00000000-000D-0000-FFFF-FFFF00000000}"/>
  </bookViews>
  <sheets>
    <sheet name="NOMINA FIJOS " sheetId="4" r:id="rId1"/>
    <sheet name="PERSONAL TEMPORAL" sheetId="13" r:id="rId2"/>
    <sheet name="SUPLENCIA FIJOS" sheetId="16" r:id="rId3"/>
    <sheet name="TRAMITE PENSION " sheetId="14" r:id="rId4"/>
    <sheet name="PROBATORIO" sheetId="17" r:id="rId5"/>
  </sheets>
  <definedNames>
    <definedName name="_xlnm.Print_Area" localSheetId="0">'NOMINA FIJOS '!$A$1:$O$355</definedName>
    <definedName name="_xlnm.Print_Area" localSheetId="1">'PERSONAL TEMPORAL'!$A$1:$R$282</definedName>
    <definedName name="_xlnm.Print_Area" localSheetId="4">PROBATORIO!$A$1:$P$21</definedName>
    <definedName name="_xlnm.Print_Area" localSheetId="2">'SUPLENCIA FIJOS'!$B$1:$L$126</definedName>
    <definedName name="_xlnm.Print_Area" localSheetId="3">'TRAMITE PENSION '!$A$1:$O$30</definedName>
    <definedName name="_xlnm.Print_Titles" localSheetId="0">'NOMINA FIJOS '!$1:$6</definedName>
    <definedName name="_xlnm.Print_Titles" localSheetId="1">'PERSONAL TEMPORAL'!$1:$7</definedName>
    <definedName name="_xlnm.Print_Titles" localSheetId="4">PROBATORIO!$1:$6</definedName>
    <definedName name="_xlnm.Print_Titles" localSheetId="2">'SUPLENCIA FIJOS'!$1:$6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4" l="1"/>
  <c r="L9" i="14"/>
  <c r="L10" i="14"/>
  <c r="L11" i="14"/>
  <c r="L12" i="14"/>
  <c r="L13" i="14"/>
  <c r="L14" i="14"/>
  <c r="L15" i="14"/>
  <c r="L16" i="14"/>
  <c r="L17" i="14"/>
  <c r="L18" i="14"/>
  <c r="L19" i="14"/>
  <c r="L20" i="14"/>
  <c r="K16" i="16"/>
  <c r="R230" i="13"/>
  <c r="N252" i="13"/>
  <c r="I226" i="13"/>
  <c r="J226" i="13"/>
  <c r="K226" i="13"/>
  <c r="O226" i="13"/>
  <c r="P226" i="13"/>
  <c r="H226" i="13"/>
  <c r="A229" i="13"/>
  <c r="A225" i="13"/>
  <c r="L337" i="4"/>
  <c r="L336" i="4"/>
  <c r="L340" i="4"/>
  <c r="L341" i="4"/>
  <c r="L342" i="4"/>
  <c r="L314" i="4"/>
  <c r="L281" i="4"/>
  <c r="L283" i="4"/>
  <c r="L306" i="4" s="1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N305" i="4" s="1"/>
  <c r="O305" i="4" s="1"/>
  <c r="N304" i="4"/>
  <c r="O304" i="4" s="1"/>
  <c r="K304" i="4"/>
  <c r="K305" i="4"/>
  <c r="J304" i="4"/>
  <c r="J306" i="4" s="1"/>
  <c r="J305" i="4"/>
  <c r="G305" i="4"/>
  <c r="H305" i="4"/>
  <c r="H306" i="4" s="1"/>
  <c r="G304" i="4"/>
  <c r="H304" i="4"/>
  <c r="G306" i="4"/>
  <c r="I306" i="4"/>
  <c r="K306" i="4"/>
  <c r="M306" i="4"/>
  <c r="F306" i="4"/>
  <c r="A305" i="4"/>
  <c r="A304" i="4"/>
  <c r="N20" i="14" l="1"/>
  <c r="L16" i="16"/>
  <c r="K268" i="13"/>
  <c r="O268" i="13"/>
  <c r="P268" i="13"/>
  <c r="H268" i="13"/>
  <c r="M270" i="4" l="1"/>
  <c r="G13" i="16" l="1"/>
  <c r="G9" i="16"/>
  <c r="G108" i="16"/>
  <c r="G113" i="16"/>
  <c r="G117" i="16"/>
  <c r="J112" i="16"/>
  <c r="K111" i="16" l="1"/>
  <c r="L111" i="16" s="1"/>
  <c r="O170" i="13"/>
  <c r="H170" i="13"/>
  <c r="K170" i="13"/>
  <c r="P170" i="13"/>
  <c r="J168" i="13"/>
  <c r="I168" i="13"/>
  <c r="K140" i="13"/>
  <c r="P140" i="13"/>
  <c r="H140" i="13"/>
  <c r="I137" i="13"/>
  <c r="J137" i="13"/>
  <c r="L137" i="13" s="1"/>
  <c r="H183" i="13"/>
  <c r="K183" i="13"/>
  <c r="O183" i="13"/>
  <c r="P183" i="13"/>
  <c r="J177" i="13"/>
  <c r="I177" i="13"/>
  <c r="K88" i="13"/>
  <c r="O88" i="13"/>
  <c r="P88" i="13"/>
  <c r="H88" i="13"/>
  <c r="J87" i="13"/>
  <c r="I87" i="13"/>
  <c r="I314" i="4"/>
  <c r="L168" i="13" l="1"/>
  <c r="M168" i="13"/>
  <c r="Q137" i="13"/>
  <c r="M137" i="13"/>
  <c r="L177" i="13"/>
  <c r="M177" i="13" s="1"/>
  <c r="L87" i="13"/>
  <c r="M87" i="13" s="1"/>
  <c r="R137" i="13" l="1"/>
  <c r="N168" i="13"/>
  <c r="Q168" i="13" s="1"/>
  <c r="N177" i="13"/>
  <c r="R168" i="13" l="1"/>
  <c r="N170" i="13"/>
  <c r="Q177" i="13"/>
  <c r="R177" i="13" s="1"/>
  <c r="J113" i="16" l="1"/>
  <c r="K195" i="13"/>
  <c r="O195" i="13"/>
  <c r="P195" i="13"/>
  <c r="J193" i="13"/>
  <c r="J194" i="13"/>
  <c r="I193" i="13"/>
  <c r="I194" i="13"/>
  <c r="H195" i="13"/>
  <c r="K160" i="13"/>
  <c r="O160" i="13"/>
  <c r="P160" i="13"/>
  <c r="H160" i="13"/>
  <c r="I315" i="4"/>
  <c r="M315" i="4"/>
  <c r="F315" i="4"/>
  <c r="H318" i="4"/>
  <c r="G318" i="4"/>
  <c r="J318" i="4" s="1"/>
  <c r="K318" i="4" s="1"/>
  <c r="L318" i="4" s="1"/>
  <c r="H313" i="4"/>
  <c r="G313" i="4"/>
  <c r="I202" i="4"/>
  <c r="M83" i="4"/>
  <c r="F83" i="4"/>
  <c r="L193" i="13" l="1"/>
  <c r="M193" i="13" s="1"/>
  <c r="N193" i="13" s="1"/>
  <c r="Q193" i="13" s="1"/>
  <c r="R193" i="13" s="1"/>
  <c r="L194" i="13"/>
  <c r="M194" i="13" s="1"/>
  <c r="N194" i="13" s="1"/>
  <c r="Q194" i="13" s="1"/>
  <c r="R194" i="13" s="1"/>
  <c r="J313" i="4"/>
  <c r="N318" i="4"/>
  <c r="O318" i="4" s="1"/>
  <c r="K313" i="4" l="1"/>
  <c r="L313" i="4" l="1"/>
  <c r="N313" i="4" l="1"/>
  <c r="O313" i="4" s="1"/>
  <c r="O999849" i="17" l="1"/>
  <c r="B16524" i="17"/>
  <c r="B16526" i="17" s="1"/>
  <c r="N9" i="17"/>
  <c r="I9" i="17"/>
  <c r="F9" i="17"/>
  <c r="H8" i="17"/>
  <c r="H9" i="17" s="1"/>
  <c r="G8" i="17"/>
  <c r="J8" i="17" s="1"/>
  <c r="J9" i="17" s="1"/>
  <c r="G9" i="17" l="1"/>
  <c r="K8" i="17"/>
  <c r="L8" i="17" l="1"/>
  <c r="K9" i="17"/>
  <c r="L9" i="17" l="1"/>
  <c r="O8" i="17"/>
  <c r="P8" i="17" l="1"/>
  <c r="P9" i="17" s="1"/>
  <c r="O9" i="17"/>
  <c r="A280" i="4" l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F270" i="4"/>
  <c r="K65" i="16" l="1"/>
  <c r="I57" i="16"/>
  <c r="H57" i="16"/>
  <c r="O213" i="13"/>
  <c r="H213" i="13"/>
  <c r="J192" i="13"/>
  <c r="I192" i="13"/>
  <c r="F278" i="4"/>
  <c r="I278" i="4"/>
  <c r="M278" i="4"/>
  <c r="H277" i="4"/>
  <c r="G277" i="4"/>
  <c r="N277" i="4" l="1"/>
  <c r="O277" i="4" s="1"/>
  <c r="J277" i="4"/>
  <c r="K277" i="4" s="1"/>
  <c r="K57" i="16"/>
  <c r="L57" i="16" s="1"/>
  <c r="L192" i="13"/>
  <c r="M192" i="13" s="1"/>
  <c r="N192" i="13" s="1"/>
  <c r="Q192" i="13" s="1"/>
  <c r="R192" i="13" s="1"/>
  <c r="F21" i="14" l="1"/>
  <c r="M21" i="14"/>
  <c r="G12" i="14"/>
  <c r="H12" i="14"/>
  <c r="G19" i="14"/>
  <c r="H19" i="14"/>
  <c r="I87" i="16"/>
  <c r="H87" i="16"/>
  <c r="K87" i="16" s="1"/>
  <c r="O11" i="13"/>
  <c r="O20" i="13"/>
  <c r="O26" i="13"/>
  <c r="O35" i="13"/>
  <c r="O45" i="13"/>
  <c r="O49" i="13"/>
  <c r="O53" i="13"/>
  <c r="O58" i="13"/>
  <c r="O62" i="13"/>
  <c r="O66" i="13"/>
  <c r="O70" i="13"/>
  <c r="O74" i="13"/>
  <c r="O81" i="13"/>
  <c r="O93" i="13"/>
  <c r="O97" i="13"/>
  <c r="O101" i="13"/>
  <c r="O108" i="13"/>
  <c r="O112" i="13"/>
  <c r="O115" i="13"/>
  <c r="O120" i="13"/>
  <c r="O123" i="13"/>
  <c r="O129" i="13"/>
  <c r="O134" i="13"/>
  <c r="O140" i="13"/>
  <c r="O145" i="13"/>
  <c r="O149" i="13"/>
  <c r="O155" i="13"/>
  <c r="O165" i="13"/>
  <c r="O174" i="13"/>
  <c r="O187" i="13"/>
  <c r="O200" i="13"/>
  <c r="O204" i="13"/>
  <c r="O219" i="13"/>
  <c r="O230" i="13"/>
  <c r="O234" i="13"/>
  <c r="O238" i="13"/>
  <c r="O242" i="13"/>
  <c r="O246" i="13"/>
  <c r="O249" i="13"/>
  <c r="O254" i="13"/>
  <c r="O258" i="13"/>
  <c r="O262" i="13"/>
  <c r="O272" i="13"/>
  <c r="I182" i="13"/>
  <c r="J182" i="13"/>
  <c r="J119" i="13"/>
  <c r="I119" i="13"/>
  <c r="K120" i="13"/>
  <c r="P120" i="13"/>
  <c r="H120" i="13"/>
  <c r="H112" i="13"/>
  <c r="K112" i="13"/>
  <c r="P112" i="13"/>
  <c r="J111" i="13"/>
  <c r="I111" i="13"/>
  <c r="H35" i="13"/>
  <c r="P35" i="13"/>
  <c r="I34" i="13"/>
  <c r="J34" i="13"/>
  <c r="G242" i="4"/>
  <c r="H242" i="4"/>
  <c r="A208" i="4"/>
  <c r="A11" i="4"/>
  <c r="J242" i="4" l="1"/>
  <c r="K242" i="4" s="1"/>
  <c r="J12" i="14"/>
  <c r="K12" i="14" s="1"/>
  <c r="N12" i="14" s="1"/>
  <c r="O12" i="14" s="1"/>
  <c r="J19" i="14"/>
  <c r="L182" i="13"/>
  <c r="L111" i="13"/>
  <c r="M111" i="13" s="1"/>
  <c r="N111" i="13" s="1"/>
  <c r="Q111" i="13" s="1"/>
  <c r="R111" i="13" s="1"/>
  <c r="L119" i="13"/>
  <c r="M119" i="13" s="1"/>
  <c r="N119" i="13" s="1"/>
  <c r="Q119" i="13" s="1"/>
  <c r="L34" i="13"/>
  <c r="M101" i="4"/>
  <c r="G100" i="4"/>
  <c r="F101" i="4"/>
  <c r="H100" i="4"/>
  <c r="I77" i="4"/>
  <c r="M77" i="4"/>
  <c r="F77" i="4"/>
  <c r="H76" i="4"/>
  <c r="G76" i="4"/>
  <c r="I39" i="4"/>
  <c r="M39" i="4"/>
  <c r="F39" i="4"/>
  <c r="H38" i="4"/>
  <c r="G38" i="4"/>
  <c r="I14" i="14"/>
  <c r="I21" i="14" s="1"/>
  <c r="K217" i="13"/>
  <c r="K209" i="13"/>
  <c r="K213" i="13" s="1"/>
  <c r="K143" i="13"/>
  <c r="K65" i="13"/>
  <c r="P45" i="13"/>
  <c r="K30" i="13"/>
  <c r="K35" i="13" s="1"/>
  <c r="I309" i="4"/>
  <c r="I246" i="4"/>
  <c r="I136" i="4"/>
  <c r="I124" i="4"/>
  <c r="I80" i="4"/>
  <c r="I83" i="4" s="1"/>
  <c r="I65" i="4"/>
  <c r="I63" i="4"/>
  <c r="I57" i="4"/>
  <c r="I270" i="4" l="1"/>
  <c r="L242" i="4"/>
  <c r="N242" i="4" s="1"/>
  <c r="O242" i="4" s="1"/>
  <c r="J38" i="4"/>
  <c r="K38" i="4" s="1"/>
  <c r="N38" i="4" s="1"/>
  <c r="O38" i="4" s="1"/>
  <c r="K19" i="14"/>
  <c r="M182" i="13"/>
  <c r="N182" i="13" s="1"/>
  <c r="R119" i="13"/>
  <c r="M34" i="13"/>
  <c r="N34" i="13" s="1"/>
  <c r="J100" i="4"/>
  <c r="K100" i="4" s="1"/>
  <c r="J76" i="4"/>
  <c r="K76" i="4" s="1"/>
  <c r="L76" i="4" s="1"/>
  <c r="H45" i="13"/>
  <c r="N76" i="4" l="1"/>
  <c r="O76" i="4" s="1"/>
  <c r="N19" i="14"/>
  <c r="O19" i="14" s="1"/>
  <c r="Q182" i="13"/>
  <c r="Q34" i="13"/>
  <c r="R34" i="13" s="1"/>
  <c r="N100" i="4"/>
  <c r="O100" i="4" s="1"/>
  <c r="H204" i="13"/>
  <c r="K204" i="13"/>
  <c r="P204" i="13"/>
  <c r="K254" i="13"/>
  <c r="P254" i="13"/>
  <c r="H254" i="13"/>
  <c r="K246" i="13"/>
  <c r="P246" i="13"/>
  <c r="H246" i="13"/>
  <c r="I245" i="13"/>
  <c r="J245" i="13"/>
  <c r="P210" i="13"/>
  <c r="P209" i="13"/>
  <c r="P213" i="13"/>
  <c r="P105" i="13"/>
  <c r="P96" i="13"/>
  <c r="P52" i="13"/>
  <c r="I44" i="13"/>
  <c r="J44" i="13"/>
  <c r="K45" i="13"/>
  <c r="P17" i="13"/>
  <c r="R182" i="13" l="1"/>
  <c r="L245" i="13"/>
  <c r="M245" i="13" s="1"/>
  <c r="Q245" i="13" s="1"/>
  <c r="R245" i="13" s="1"/>
  <c r="L44" i="13"/>
  <c r="M44" i="13" s="1"/>
  <c r="N44" i="13" s="1"/>
  <c r="Q44" i="13" l="1"/>
  <c r="R44" i="13" s="1"/>
  <c r="L41" i="4" l="1"/>
  <c r="G88" i="16" l="1"/>
  <c r="A13" i="4"/>
  <c r="A14" i="4" s="1"/>
  <c r="A15" i="4" s="1"/>
  <c r="A16" i="4" s="1"/>
  <c r="F17" i="4"/>
  <c r="J108" i="16" l="1"/>
  <c r="I107" i="16"/>
  <c r="I108" i="16" s="1"/>
  <c r="H107" i="16"/>
  <c r="H108" i="16" s="1"/>
  <c r="I211" i="13"/>
  <c r="J211" i="13"/>
  <c r="P134" i="13"/>
  <c r="K134" i="13"/>
  <c r="H134" i="13"/>
  <c r="J133" i="13"/>
  <c r="I133" i="13"/>
  <c r="J267" i="13"/>
  <c r="I267" i="13"/>
  <c r="I10" i="13"/>
  <c r="J10" i="13"/>
  <c r="G302" i="4"/>
  <c r="H302" i="4"/>
  <c r="H204" i="4"/>
  <c r="G204" i="4"/>
  <c r="I205" i="4"/>
  <c r="M205" i="4"/>
  <c r="F205" i="4"/>
  <c r="H14" i="14"/>
  <c r="G14" i="14"/>
  <c r="J14" i="14" l="1"/>
  <c r="K14" i="14" s="1"/>
  <c r="N14" i="14" s="1"/>
  <c r="O14" i="14" s="1"/>
  <c r="L211" i="13"/>
  <c r="M211" i="13" s="1"/>
  <c r="N211" i="13" s="1"/>
  <c r="K107" i="16"/>
  <c r="L107" i="16" s="1"/>
  <c r="L108" i="16" s="1"/>
  <c r="I134" i="13"/>
  <c r="L133" i="13"/>
  <c r="M133" i="13" s="1"/>
  <c r="Q133" i="13" s="1"/>
  <c r="R133" i="13" s="1"/>
  <c r="J134" i="13"/>
  <c r="L267" i="13"/>
  <c r="M267" i="13" s="1"/>
  <c r="Q267" i="13" s="1"/>
  <c r="R267" i="13" s="1"/>
  <c r="J204" i="4"/>
  <c r="K204" i="4" s="1"/>
  <c r="L204" i="4" s="1"/>
  <c r="J302" i="4"/>
  <c r="Q211" i="13" l="1"/>
  <c r="R211" i="13" s="1"/>
  <c r="N204" i="4"/>
  <c r="O204" i="4" s="1"/>
  <c r="K108" i="16"/>
  <c r="L134" i="13"/>
  <c r="M134" i="13"/>
  <c r="K302" i="4"/>
  <c r="N134" i="13" l="1"/>
  <c r="Q134" i="13" l="1"/>
  <c r="R134" i="13"/>
  <c r="N302" i="4"/>
  <c r="O302" i="4" s="1"/>
  <c r="I73" i="16" l="1"/>
  <c r="H73" i="16"/>
  <c r="K53" i="13"/>
  <c r="P53" i="13"/>
  <c r="H53" i="13"/>
  <c r="K81" i="13"/>
  <c r="P81" i="13"/>
  <c r="H81" i="13"/>
  <c r="G269" i="4"/>
  <c r="H269" i="4"/>
  <c r="I17" i="4"/>
  <c r="M17" i="4"/>
  <c r="G15" i="4"/>
  <c r="H16" i="4"/>
  <c r="H15" i="4"/>
  <c r="G16" i="4"/>
  <c r="N16" i="4" l="1"/>
  <c r="O16" i="4" s="1"/>
  <c r="J15" i="4"/>
  <c r="K15" i="4" s="1"/>
  <c r="L15" i="4" s="1"/>
  <c r="N15" i="4" s="1"/>
  <c r="O15" i="4" s="1"/>
  <c r="J16" i="4"/>
  <c r="K16" i="4" s="1"/>
  <c r="K73" i="16"/>
  <c r="J269" i="4"/>
  <c r="K269" i="4" l="1"/>
  <c r="L269" i="4" l="1"/>
  <c r="N269" i="4" s="1"/>
  <c r="O269" i="4" s="1"/>
  <c r="I85" i="13" l="1"/>
  <c r="J85" i="13"/>
  <c r="I86" i="13"/>
  <c r="J86" i="13"/>
  <c r="I43" i="13"/>
  <c r="J43" i="13"/>
  <c r="I42" i="13"/>
  <c r="J42" i="13"/>
  <c r="G301" i="4"/>
  <c r="H301" i="4"/>
  <c r="G300" i="4"/>
  <c r="H300" i="4"/>
  <c r="G268" i="4"/>
  <c r="H268" i="4"/>
  <c r="L43" i="13" l="1"/>
  <c r="M43" i="13" s="1"/>
  <c r="N43" i="13" s="1"/>
  <c r="L42" i="13"/>
  <c r="J301" i="4"/>
  <c r="J300" i="4"/>
  <c r="J268" i="4"/>
  <c r="Q43" i="13" l="1"/>
  <c r="R43" i="13" s="1"/>
  <c r="M42" i="13"/>
  <c r="K301" i="4"/>
  <c r="K300" i="4"/>
  <c r="K268" i="4"/>
  <c r="L268" i="4" l="1"/>
  <c r="N268" i="4" s="1"/>
  <c r="O268" i="4" s="1"/>
  <c r="Q42" i="13"/>
  <c r="N301" i="4"/>
  <c r="O301" i="4" s="1"/>
  <c r="N300" i="4"/>
  <c r="O300" i="4" s="1"/>
  <c r="R42" i="13" l="1"/>
  <c r="G13" i="14"/>
  <c r="H13" i="14"/>
  <c r="I88" i="16"/>
  <c r="H88" i="16"/>
  <c r="J88" i="16"/>
  <c r="I31" i="16"/>
  <c r="I33" i="16" s="1"/>
  <c r="H31" i="16"/>
  <c r="H33" i="16" s="1"/>
  <c r="K32" i="16"/>
  <c r="G33" i="16"/>
  <c r="J33" i="16"/>
  <c r="P230" i="13"/>
  <c r="K230" i="13"/>
  <c r="H230" i="13"/>
  <c r="J223" i="13"/>
  <c r="I223" i="13"/>
  <c r="J203" i="13"/>
  <c r="J204" i="13" s="1"/>
  <c r="I203" i="13"/>
  <c r="I204" i="13" s="1"/>
  <c r="I253" i="13"/>
  <c r="K108" i="13"/>
  <c r="P108" i="13"/>
  <c r="H108" i="13"/>
  <c r="J107" i="13"/>
  <c r="I107" i="13"/>
  <c r="P74" i="13"/>
  <c r="H74" i="13"/>
  <c r="K74" i="13"/>
  <c r="L223" i="13" l="1"/>
  <c r="J13" i="14"/>
  <c r="K31" i="16"/>
  <c r="L31" i="16" s="1"/>
  <c r="L107" i="13"/>
  <c r="M107" i="13" s="1"/>
  <c r="N107" i="13" s="1"/>
  <c r="Q107" i="13" s="1"/>
  <c r="R107" i="13" s="1"/>
  <c r="L203" i="13"/>
  <c r="L204" i="13" s="1"/>
  <c r="F137" i="4"/>
  <c r="M113" i="4"/>
  <c r="I113" i="4"/>
  <c r="F113" i="4"/>
  <c r="H112" i="4"/>
  <c r="G112" i="4"/>
  <c r="M223" i="13" l="1"/>
  <c r="K13" i="14"/>
  <c r="K33" i="16"/>
  <c r="M203" i="13"/>
  <c r="M204" i="13" s="1"/>
  <c r="J112" i="4"/>
  <c r="K112" i="4" s="1"/>
  <c r="L112" i="4" s="1"/>
  <c r="N112" i="4" l="1"/>
  <c r="O112" i="4" s="1"/>
  <c r="Q223" i="13"/>
  <c r="N13" i="14"/>
  <c r="O13" i="14" s="1"/>
  <c r="N204" i="13"/>
  <c r="R223" i="13" l="1"/>
  <c r="Q203" i="13"/>
  <c r="Q204" i="13" s="1"/>
  <c r="R203" i="13" l="1"/>
  <c r="R204" i="13" s="1"/>
  <c r="I159" i="13" l="1"/>
  <c r="J159" i="13"/>
  <c r="K115" i="13"/>
  <c r="P115" i="13"/>
  <c r="H115" i="13"/>
  <c r="K97" i="13"/>
  <c r="P97" i="13"/>
  <c r="H97" i="13"/>
  <c r="K66" i="13"/>
  <c r="P66" i="13"/>
  <c r="H66" i="13"/>
  <c r="P70" i="13"/>
  <c r="K70" i="13"/>
  <c r="H70" i="13"/>
  <c r="J69" i="13"/>
  <c r="I69" i="13"/>
  <c r="J96" i="13"/>
  <c r="I96" i="13"/>
  <c r="I199" i="13"/>
  <c r="I137" i="4"/>
  <c r="M137" i="4"/>
  <c r="I130" i="4"/>
  <c r="M130" i="4"/>
  <c r="F130" i="4"/>
  <c r="I125" i="4"/>
  <c r="M125" i="4"/>
  <c r="F125" i="4"/>
  <c r="F118" i="4"/>
  <c r="I101" i="4"/>
  <c r="I66" i="4"/>
  <c r="M66" i="4"/>
  <c r="F66" i="4"/>
  <c r="I46" i="4"/>
  <c r="M46" i="4"/>
  <c r="F46" i="4"/>
  <c r="M146" i="4"/>
  <c r="I146" i="4"/>
  <c r="F146" i="4"/>
  <c r="L31" i="4"/>
  <c r="G32" i="4"/>
  <c r="H32" i="4"/>
  <c r="I32" i="4"/>
  <c r="J32" i="4"/>
  <c r="K32" i="4"/>
  <c r="M32" i="4"/>
  <c r="F32" i="4"/>
  <c r="L159" i="13" l="1"/>
  <c r="M159" i="13" s="1"/>
  <c r="Q159" i="13" s="1"/>
  <c r="R159" i="13" s="1"/>
  <c r="L32" i="4"/>
  <c r="N31" i="4"/>
  <c r="O31" i="4" s="1"/>
  <c r="O32" i="4" s="1"/>
  <c r="L69" i="13"/>
  <c r="I70" i="13"/>
  <c r="J70" i="13"/>
  <c r="L96" i="13"/>
  <c r="M69" i="13" l="1"/>
  <c r="M96" i="13"/>
  <c r="L70" i="13"/>
  <c r="N69" i="13" l="1"/>
  <c r="Q69" i="13" s="1"/>
  <c r="R69" i="13" s="1"/>
  <c r="R70" i="13" s="1"/>
  <c r="M70" i="13"/>
  <c r="N96" i="13"/>
  <c r="N97" i="13" s="1"/>
  <c r="N70" i="13" l="1"/>
  <c r="Q96" i="13"/>
  <c r="Q70" i="13" l="1"/>
  <c r="R96" i="13"/>
  <c r="H49" i="13" l="1"/>
  <c r="H26" i="13"/>
  <c r="H20" i="13"/>
  <c r="H174" i="13"/>
  <c r="K174" i="13"/>
  <c r="P174" i="13"/>
  <c r="K93" i="13"/>
  <c r="P93" i="13"/>
  <c r="H93" i="13"/>
  <c r="I80" i="13"/>
  <c r="J80" i="13"/>
  <c r="K58" i="13"/>
  <c r="P58" i="13"/>
  <c r="H58" i="13"/>
  <c r="I57" i="13"/>
  <c r="J57" i="13"/>
  <c r="P49" i="13"/>
  <c r="K49" i="13"/>
  <c r="J48" i="13"/>
  <c r="J49" i="13" s="1"/>
  <c r="I48" i="13"/>
  <c r="I49" i="13" s="1"/>
  <c r="G299" i="4"/>
  <c r="H299" i="4"/>
  <c r="G267" i="4"/>
  <c r="H267" i="4"/>
  <c r="G266" i="4"/>
  <c r="H266" i="4"/>
  <c r="H184" i="4"/>
  <c r="G184" i="4"/>
  <c r="F24" i="4"/>
  <c r="J184" i="4" l="1"/>
  <c r="K184" i="4" s="1"/>
  <c r="L184" i="4" s="1"/>
  <c r="L57" i="13"/>
  <c r="L80" i="13"/>
  <c r="M80" i="13" s="1"/>
  <c r="L48" i="13"/>
  <c r="J299" i="4"/>
  <c r="J267" i="4"/>
  <c r="J266" i="4"/>
  <c r="J42" i="16"/>
  <c r="G42" i="16"/>
  <c r="J38" i="16"/>
  <c r="G38" i="16"/>
  <c r="I27" i="16"/>
  <c r="I23" i="16"/>
  <c r="I24" i="16" s="1"/>
  <c r="H23" i="16"/>
  <c r="H24" i="16" s="1"/>
  <c r="G24" i="16"/>
  <c r="G84" i="16"/>
  <c r="H27" i="16"/>
  <c r="J24" i="16"/>
  <c r="J13" i="16"/>
  <c r="J56" i="13"/>
  <c r="I56" i="13"/>
  <c r="P20" i="13"/>
  <c r="I19" i="13"/>
  <c r="J19" i="13"/>
  <c r="H16" i="14"/>
  <c r="G16" i="14"/>
  <c r="M57" i="13" l="1"/>
  <c r="Q57" i="13"/>
  <c r="N184" i="4"/>
  <c r="O184" i="4" s="1"/>
  <c r="M48" i="13"/>
  <c r="J16" i="14"/>
  <c r="K16" i="14" s="1"/>
  <c r="R57" i="13"/>
  <c r="L49" i="13"/>
  <c r="K299" i="4"/>
  <c r="K267" i="4"/>
  <c r="K266" i="4"/>
  <c r="K24" i="16"/>
  <c r="L56" i="13"/>
  <c r="L19" i="13"/>
  <c r="H275" i="4"/>
  <c r="G275" i="4"/>
  <c r="H298" i="4"/>
  <c r="G298" i="4"/>
  <c r="G265" i="4"/>
  <c r="H265" i="4"/>
  <c r="G264" i="4"/>
  <c r="H264" i="4"/>
  <c r="G263" i="4"/>
  <c r="H263" i="4"/>
  <c r="H99" i="4"/>
  <c r="G99" i="4"/>
  <c r="H21" i="4"/>
  <c r="G21" i="4"/>
  <c r="N41" i="4"/>
  <c r="O41" i="4" s="1"/>
  <c r="N32" i="4"/>
  <c r="H10" i="14"/>
  <c r="G10" i="14"/>
  <c r="H9" i="14"/>
  <c r="G9" i="14"/>
  <c r="H11" i="14"/>
  <c r="G11" i="14"/>
  <c r="I60" i="4"/>
  <c r="M60" i="4"/>
  <c r="F60" i="4"/>
  <c r="H57" i="4"/>
  <c r="G57" i="4"/>
  <c r="G8" i="14"/>
  <c r="H8" i="14"/>
  <c r="H7" i="14"/>
  <c r="G7" i="14"/>
  <c r="H63" i="4"/>
  <c r="G63" i="4"/>
  <c r="K249" i="13"/>
  <c r="P249" i="13"/>
  <c r="H249" i="13"/>
  <c r="P242" i="13"/>
  <c r="K242" i="13"/>
  <c r="H242" i="13"/>
  <c r="J241" i="13"/>
  <c r="J242" i="13" s="1"/>
  <c r="I241" i="13"/>
  <c r="I242" i="13" s="1"/>
  <c r="J248" i="13"/>
  <c r="I248" i="13"/>
  <c r="G18" i="14"/>
  <c r="H18" i="14"/>
  <c r="G17" i="14"/>
  <c r="H17" i="14"/>
  <c r="H14" i="4"/>
  <c r="G14" i="4"/>
  <c r="N14" i="4" l="1"/>
  <c r="O14" i="4" s="1"/>
  <c r="N48" i="13"/>
  <c r="N49" i="13" s="1"/>
  <c r="L267" i="4"/>
  <c r="N267" i="4" s="1"/>
  <c r="O267" i="4" s="1"/>
  <c r="L266" i="4"/>
  <c r="N266" i="4" s="1"/>
  <c r="O266" i="4" s="1"/>
  <c r="N16" i="14"/>
  <c r="O16" i="14" s="1"/>
  <c r="M49" i="13"/>
  <c r="L23" i="16"/>
  <c r="L24" i="16" s="1"/>
  <c r="M56" i="13"/>
  <c r="J7" i="14"/>
  <c r="J18" i="14"/>
  <c r="K18" i="14" s="1"/>
  <c r="J9" i="14"/>
  <c r="J17" i="14"/>
  <c r="K17" i="14" s="1"/>
  <c r="J8" i="14"/>
  <c r="K8" i="14" s="1"/>
  <c r="J11" i="14"/>
  <c r="K11" i="14" s="1"/>
  <c r="J10" i="14"/>
  <c r="K10" i="14" s="1"/>
  <c r="M19" i="13"/>
  <c r="J298" i="4"/>
  <c r="K298" i="4" s="1"/>
  <c r="J21" i="4"/>
  <c r="J275" i="4"/>
  <c r="K275" i="4" s="1"/>
  <c r="L275" i="4" s="1"/>
  <c r="N275" i="4" s="1"/>
  <c r="O275" i="4" s="1"/>
  <c r="J264" i="4"/>
  <c r="K264" i="4" s="1"/>
  <c r="J265" i="4"/>
  <c r="J263" i="4"/>
  <c r="J99" i="4"/>
  <c r="K99" i="4" s="1"/>
  <c r="L99" i="4" s="1"/>
  <c r="J63" i="4"/>
  <c r="J57" i="4"/>
  <c r="L248" i="13"/>
  <c r="L241" i="13"/>
  <c r="J14" i="4"/>
  <c r="K14" i="4" s="1"/>
  <c r="Q48" i="13" l="1"/>
  <c r="Q49" i="13" s="1"/>
  <c r="L264" i="4"/>
  <c r="N264" i="4" s="1"/>
  <c r="O264" i="4" s="1"/>
  <c r="N11" i="14"/>
  <c r="O11" i="14" s="1"/>
  <c r="N17" i="14"/>
  <c r="O17" i="14" s="1"/>
  <c r="N18" i="14"/>
  <c r="O18" i="14" s="1"/>
  <c r="Q19" i="13"/>
  <c r="R19" i="13" s="1"/>
  <c r="N8" i="14"/>
  <c r="O8" i="14" s="1"/>
  <c r="N10" i="14"/>
  <c r="O10" i="14" s="1"/>
  <c r="N298" i="4"/>
  <c r="O298" i="4" s="1"/>
  <c r="N99" i="4"/>
  <c r="O99" i="4" s="1"/>
  <c r="K63" i="4"/>
  <c r="N299" i="4"/>
  <c r="N56" i="13"/>
  <c r="K9" i="14"/>
  <c r="K7" i="14"/>
  <c r="K265" i="4"/>
  <c r="K263" i="4"/>
  <c r="K57" i="4"/>
  <c r="L57" i="4" s="1"/>
  <c r="L242" i="13"/>
  <c r="M241" i="13"/>
  <c r="N241" i="13" s="1"/>
  <c r="M248" i="13"/>
  <c r="N248" i="13" s="1"/>
  <c r="R48" i="13" l="1"/>
  <c r="R49" i="13" s="1"/>
  <c r="L7" i="14"/>
  <c r="L263" i="4"/>
  <c r="N263" i="4" s="1"/>
  <c r="O263" i="4" s="1"/>
  <c r="L265" i="4"/>
  <c r="N265" i="4" s="1"/>
  <c r="O265" i="4" s="1"/>
  <c r="N9" i="14"/>
  <c r="O9" i="14" s="1"/>
  <c r="O299" i="4"/>
  <c r="L63" i="4"/>
  <c r="Q56" i="13"/>
  <c r="N58" i="13"/>
  <c r="M242" i="13"/>
  <c r="N242" i="13"/>
  <c r="Q241" i="13"/>
  <c r="Q242" i="13" s="1"/>
  <c r="N7" i="14" l="1"/>
  <c r="N63" i="4"/>
  <c r="R56" i="13"/>
  <c r="N57" i="4"/>
  <c r="Q248" i="13"/>
  <c r="R241" i="13"/>
  <c r="R242" i="13" s="1"/>
  <c r="O63" i="4" l="1"/>
  <c r="O7" i="14"/>
  <c r="O57" i="4"/>
  <c r="R248" i="13"/>
  <c r="K165" i="13" l="1"/>
  <c r="P165" i="13"/>
  <c r="H165" i="13"/>
  <c r="K155" i="13"/>
  <c r="P155" i="13"/>
  <c r="H155" i="13"/>
  <c r="K149" i="13"/>
  <c r="H149" i="13"/>
  <c r="K145" i="13"/>
  <c r="P145" i="13"/>
  <c r="H145" i="13"/>
  <c r="I343" i="4" l="1"/>
  <c r="M343" i="4"/>
  <c r="F343" i="4"/>
  <c r="I177" i="4"/>
  <c r="M177" i="4"/>
  <c r="F177" i="4"/>
  <c r="I170" i="4"/>
  <c r="M170" i="4"/>
  <c r="F170" i="4"/>
  <c r="I89" i="4"/>
  <c r="M89" i="4"/>
  <c r="F89" i="4"/>
  <c r="I33" i="13"/>
  <c r="J33" i="13"/>
  <c r="L33" i="13" l="1"/>
  <c r="M33" i="13" s="1"/>
  <c r="N33" i="13" s="1"/>
  <c r="G297" i="4"/>
  <c r="H297" i="4"/>
  <c r="G276" i="4"/>
  <c r="H276" i="4"/>
  <c r="H261" i="4"/>
  <c r="G261" i="4"/>
  <c r="G262" i="4"/>
  <c r="H262" i="4"/>
  <c r="I191" i="4"/>
  <c r="M191" i="4"/>
  <c r="F191" i="4"/>
  <c r="H189" i="4"/>
  <c r="G189" i="4"/>
  <c r="F150" i="4"/>
  <c r="Q33" i="13" l="1"/>
  <c r="R33" i="13" s="1"/>
  <c r="J276" i="4"/>
  <c r="K276" i="4" s="1"/>
  <c r="L276" i="4" s="1"/>
  <c r="N276" i="4" s="1"/>
  <c r="O276" i="4" s="1"/>
  <c r="J297" i="4"/>
  <c r="J262" i="4"/>
  <c r="K262" i="4" s="1"/>
  <c r="L262" i="4" s="1"/>
  <c r="N262" i="4" s="1"/>
  <c r="O262" i="4" s="1"/>
  <c r="J189" i="4"/>
  <c r="K189" i="4" s="1"/>
  <c r="L189" i="4" s="1"/>
  <c r="N189" i="4" s="1"/>
  <c r="O189" i="4" s="1"/>
  <c r="K297" i="4" l="1"/>
  <c r="N297" i="4" l="1"/>
  <c r="O297" i="4" s="1"/>
  <c r="H37" i="16" l="1"/>
  <c r="I37" i="16"/>
  <c r="H58" i="16"/>
  <c r="I58" i="16"/>
  <c r="I116" i="16"/>
  <c r="H116" i="16"/>
  <c r="I112" i="16"/>
  <c r="I113" i="16" s="1"/>
  <c r="H112" i="16"/>
  <c r="I95" i="16"/>
  <c r="H95" i="16"/>
  <c r="I83" i="16"/>
  <c r="H83" i="16"/>
  <c r="I49" i="16"/>
  <c r="H49" i="16"/>
  <c r="I153" i="13"/>
  <c r="J153" i="13"/>
  <c r="K95" i="16" l="1"/>
  <c r="K112" i="16"/>
  <c r="H113" i="16"/>
  <c r="K116" i="16"/>
  <c r="K37" i="16"/>
  <c r="K49" i="16"/>
  <c r="K50" i="16" s="1"/>
  <c r="L153" i="13"/>
  <c r="L37" i="16" l="1"/>
  <c r="K38" i="16"/>
  <c r="L112" i="16"/>
  <c r="K113" i="16"/>
  <c r="M153" i="13"/>
  <c r="Q153" i="13"/>
  <c r="R153" i="13" s="1"/>
  <c r="G92" i="16"/>
  <c r="J92" i="16" l="1"/>
  <c r="H91" i="16"/>
  <c r="H92" i="16" s="1"/>
  <c r="I91" i="16"/>
  <c r="I92" i="16" s="1"/>
  <c r="I78" i="16"/>
  <c r="H78" i="16"/>
  <c r="P258" i="13"/>
  <c r="K258" i="13"/>
  <c r="H258" i="13"/>
  <c r="J257" i="13"/>
  <c r="J258" i="13" s="1"/>
  <c r="I257" i="13"/>
  <c r="I258" i="13" s="1"/>
  <c r="J252" i="13"/>
  <c r="I252" i="13"/>
  <c r="I254" i="13" s="1"/>
  <c r="I148" i="13"/>
  <c r="J148" i="13"/>
  <c r="P129" i="13"/>
  <c r="L85" i="13"/>
  <c r="L86" i="13"/>
  <c r="M86" i="13" s="1"/>
  <c r="I92" i="13"/>
  <c r="J92" i="13"/>
  <c r="I159" i="4"/>
  <c r="M159" i="4"/>
  <c r="F159" i="4"/>
  <c r="H158" i="4"/>
  <c r="G158" i="4"/>
  <c r="H129" i="13"/>
  <c r="J126" i="13"/>
  <c r="J127" i="13"/>
  <c r="I127" i="13"/>
  <c r="N86" i="13" l="1"/>
  <c r="Q86" i="13" s="1"/>
  <c r="R86" i="13" s="1"/>
  <c r="J158" i="4"/>
  <c r="K158" i="4" s="1"/>
  <c r="L158" i="4" s="1"/>
  <c r="K92" i="16"/>
  <c r="L252" i="13"/>
  <c r="L257" i="13"/>
  <c r="L258" i="13" s="1"/>
  <c r="L148" i="13"/>
  <c r="M148" i="13" s="1"/>
  <c r="M85" i="13"/>
  <c r="L127" i="13"/>
  <c r="M127" i="13" s="1"/>
  <c r="N127" i="13" s="1"/>
  <c r="L92" i="13"/>
  <c r="M92" i="13" s="1"/>
  <c r="N92" i="13" s="1"/>
  <c r="N148" i="13" l="1"/>
  <c r="Q148" i="13" s="1"/>
  <c r="R148" i="13" s="1"/>
  <c r="N85" i="13"/>
  <c r="M252" i="13"/>
  <c r="N158" i="4"/>
  <c r="O158" i="4" s="1"/>
  <c r="Q85" i="13"/>
  <c r="R85" i="13" s="1"/>
  <c r="L91" i="16"/>
  <c r="L92" i="16" s="1"/>
  <c r="M257" i="13"/>
  <c r="Q127" i="13"/>
  <c r="R127" i="13" s="1"/>
  <c r="M195" i="4"/>
  <c r="I195" i="4"/>
  <c r="F195" i="4"/>
  <c r="H194" i="4"/>
  <c r="G194" i="4"/>
  <c r="G195" i="4" s="1"/>
  <c r="H195" i="4" l="1"/>
  <c r="M258" i="13"/>
  <c r="N257" i="13"/>
  <c r="N258" i="13" s="1"/>
  <c r="J194" i="4"/>
  <c r="Q257" i="13" l="1"/>
  <c r="Q258" i="13" s="1"/>
  <c r="J195" i="4"/>
  <c r="K194" i="4"/>
  <c r="L194" i="4" s="1"/>
  <c r="N194" i="4" s="1"/>
  <c r="O194" i="4" s="1"/>
  <c r="R257" i="13" l="1"/>
  <c r="R258" i="13" s="1"/>
  <c r="K195" i="4"/>
  <c r="L195" i="4" l="1"/>
  <c r="N195" i="4"/>
  <c r="O195" i="4" l="1"/>
  <c r="J249" i="13" l="1"/>
  <c r="I249" i="13"/>
  <c r="L249" i="13" l="1"/>
  <c r="I17" i="13"/>
  <c r="J17" i="13"/>
  <c r="I18" i="13"/>
  <c r="J18" i="13"/>
  <c r="K11" i="13"/>
  <c r="P11" i="13"/>
  <c r="H11" i="13"/>
  <c r="A14" i="13"/>
  <c r="K20" i="13"/>
  <c r="I155" i="4"/>
  <c r="M155" i="4"/>
  <c r="F155" i="4"/>
  <c r="J224" i="13"/>
  <c r="I224" i="13"/>
  <c r="J114" i="13"/>
  <c r="I114" i="13"/>
  <c r="J78" i="13"/>
  <c r="I78" i="13"/>
  <c r="G295" i="4"/>
  <c r="H295" i="4"/>
  <c r="G294" i="4"/>
  <c r="H294" i="4"/>
  <c r="G274" i="4"/>
  <c r="H274" i="4"/>
  <c r="G260" i="4"/>
  <c r="H260" i="4"/>
  <c r="I24" i="4"/>
  <c r="J115" i="13" l="1"/>
  <c r="I115" i="13"/>
  <c r="L17" i="13"/>
  <c r="M17" i="13" s="1"/>
  <c r="N17" i="13" s="1"/>
  <c r="L224" i="13"/>
  <c r="M224" i="13" s="1"/>
  <c r="L18" i="13"/>
  <c r="M18" i="13" s="1"/>
  <c r="L114" i="13"/>
  <c r="L115" i="13" s="1"/>
  <c r="L78" i="13"/>
  <c r="M78" i="13" s="1"/>
  <c r="J295" i="4"/>
  <c r="K295" i="4" s="1"/>
  <c r="J294" i="4"/>
  <c r="K294" i="4" s="1"/>
  <c r="J274" i="4"/>
  <c r="K274" i="4" s="1"/>
  <c r="L274" i="4" s="1"/>
  <c r="N274" i="4" s="1"/>
  <c r="O274" i="4" s="1"/>
  <c r="J261" i="4"/>
  <c r="J260" i="4"/>
  <c r="K260" i="4" s="1"/>
  <c r="L260" i="4" l="1"/>
  <c r="N260" i="4" s="1"/>
  <c r="O260" i="4" s="1"/>
  <c r="N18" i="13"/>
  <c r="Q18" i="13" s="1"/>
  <c r="R18" i="13" s="1"/>
  <c r="Q224" i="13"/>
  <c r="Q17" i="13"/>
  <c r="R17" i="13" s="1"/>
  <c r="M249" i="13"/>
  <c r="K261" i="4"/>
  <c r="M114" i="13"/>
  <c r="N114" i="13" s="1"/>
  <c r="K26" i="13"/>
  <c r="H202" i="4"/>
  <c r="G202" i="4"/>
  <c r="R224" i="13" l="1"/>
  <c r="L261" i="4"/>
  <c r="N261" i="4" s="1"/>
  <c r="O261" i="4" s="1"/>
  <c r="N115" i="13"/>
  <c r="M115" i="13"/>
  <c r="Q249" i="13"/>
  <c r="N249" i="13"/>
  <c r="N295" i="4"/>
  <c r="O295" i="4" s="1"/>
  <c r="N294" i="4"/>
  <c r="O294" i="4" s="1"/>
  <c r="J202" i="4"/>
  <c r="K202" i="4" l="1"/>
  <c r="L202" i="4" s="1"/>
  <c r="N202" i="4" s="1"/>
  <c r="R249" i="13"/>
  <c r="Q114" i="13"/>
  <c r="Q115" i="13" l="1"/>
  <c r="R114" i="13"/>
  <c r="R115" i="13" l="1"/>
  <c r="O202" i="4"/>
  <c r="H62" i="13" l="1"/>
  <c r="F325" i="4"/>
  <c r="G59" i="16" l="1"/>
  <c r="G46" i="16"/>
  <c r="K123" i="13" l="1"/>
  <c r="P123" i="13"/>
  <c r="H123" i="13"/>
  <c r="I52" i="13"/>
  <c r="J52" i="13"/>
  <c r="I106" i="13"/>
  <c r="J106" i="13"/>
  <c r="I325" i="4"/>
  <c r="M325" i="4"/>
  <c r="G324" i="4"/>
  <c r="H324" i="4"/>
  <c r="N324" i="4" s="1"/>
  <c r="O324" i="4" s="1"/>
  <c r="G241" i="4"/>
  <c r="H241" i="4"/>
  <c r="H135" i="4"/>
  <c r="G135" i="4"/>
  <c r="J324" i="4" l="1"/>
  <c r="K324" i="4" s="1"/>
  <c r="L106" i="13"/>
  <c r="M106" i="13" s="1"/>
  <c r="N106" i="13" s="1"/>
  <c r="Q106" i="13" s="1"/>
  <c r="R106" i="13" s="1"/>
  <c r="L52" i="13"/>
  <c r="M52" i="13" s="1"/>
  <c r="J241" i="4"/>
  <c r="J135" i="4"/>
  <c r="K135" i="4" s="1"/>
  <c r="L135" i="4" s="1"/>
  <c r="N52" i="13" l="1"/>
  <c r="Q52" i="13" s="1"/>
  <c r="R52" i="13" s="1"/>
  <c r="N135" i="4"/>
  <c r="O135" i="4" s="1"/>
  <c r="K241" i="4"/>
  <c r="L241" i="4" s="1"/>
  <c r="N241" i="4" s="1"/>
  <c r="O241" i="4" s="1"/>
  <c r="K96" i="16" l="1"/>
  <c r="K88" i="16"/>
  <c r="K262" i="13" l="1"/>
  <c r="H117" i="16" l="1"/>
  <c r="I117" i="16"/>
  <c r="J117" i="16"/>
  <c r="J59" i="16"/>
  <c r="H46" i="16"/>
  <c r="I46" i="16"/>
  <c r="J46" i="16"/>
  <c r="H272" i="13" l="1"/>
  <c r="K272" i="13"/>
  <c r="P272" i="13"/>
  <c r="J154" i="13"/>
  <c r="J155" i="13" s="1"/>
  <c r="I154" i="13"/>
  <c r="J31" i="13"/>
  <c r="I31" i="13"/>
  <c r="L31" i="13" l="1"/>
  <c r="M31" i="13" s="1"/>
  <c r="N31" i="13" s="1"/>
  <c r="L154" i="13"/>
  <c r="M154" i="13" s="1"/>
  <c r="N154" i="13" s="1"/>
  <c r="Q154" i="13" s="1"/>
  <c r="R154" i="13" s="1"/>
  <c r="H219" i="13"/>
  <c r="Q31" i="13" l="1"/>
  <c r="R31" i="13" s="1"/>
  <c r="K45" i="16"/>
  <c r="K46" i="16" s="1"/>
  <c r="F218" i="4" l="1"/>
  <c r="I218" i="4"/>
  <c r="M218" i="4"/>
  <c r="K117" i="16" l="1"/>
  <c r="L116" i="16" l="1"/>
  <c r="L117" i="16" s="1"/>
  <c r="I225" i="13"/>
  <c r="J225" i="13"/>
  <c r="J218" i="13"/>
  <c r="I218" i="13"/>
  <c r="L225" i="13" l="1"/>
  <c r="L226" i="13" s="1"/>
  <c r="L218" i="13"/>
  <c r="M225" i="13" l="1"/>
  <c r="M218" i="13"/>
  <c r="N218" i="13" s="1"/>
  <c r="I237" i="4"/>
  <c r="M237" i="4"/>
  <c r="F237" i="4"/>
  <c r="I232" i="4"/>
  <c r="M232" i="4"/>
  <c r="F232" i="4"/>
  <c r="I227" i="4"/>
  <c r="M227" i="4"/>
  <c r="F227" i="4"/>
  <c r="I223" i="4"/>
  <c r="F223" i="4"/>
  <c r="I209" i="4"/>
  <c r="M209" i="4"/>
  <c r="F209" i="4"/>
  <c r="I199" i="4"/>
  <c r="M199" i="4"/>
  <c r="F199" i="4"/>
  <c r="I186" i="4"/>
  <c r="M186" i="4"/>
  <c r="F186" i="4"/>
  <c r="I181" i="4"/>
  <c r="M181" i="4"/>
  <c r="F181" i="4"/>
  <c r="I162" i="4"/>
  <c r="M162" i="4"/>
  <c r="F162" i="4"/>
  <c r="I150" i="4"/>
  <c r="M150" i="4"/>
  <c r="F142" i="4"/>
  <c r="I142" i="4"/>
  <c r="M142" i="4"/>
  <c r="I106" i="4"/>
  <c r="M106" i="4"/>
  <c r="F106" i="4"/>
  <c r="I93" i="4"/>
  <c r="M93" i="4"/>
  <c r="F93" i="4"/>
  <c r="I70" i="4"/>
  <c r="M70" i="4"/>
  <c r="F70" i="4"/>
  <c r="I54" i="4"/>
  <c r="M54" i="4"/>
  <c r="F54" i="4"/>
  <c r="G50" i="4"/>
  <c r="H50" i="4"/>
  <c r="I50" i="4"/>
  <c r="M50" i="4"/>
  <c r="F50" i="4"/>
  <c r="I28" i="4"/>
  <c r="M28" i="4"/>
  <c r="F28" i="4"/>
  <c r="M24" i="4"/>
  <c r="K219" i="13"/>
  <c r="P219" i="13"/>
  <c r="I213" i="4"/>
  <c r="M213" i="4"/>
  <c r="F213" i="4"/>
  <c r="H149" i="4"/>
  <c r="I118" i="4"/>
  <c r="M118" i="4"/>
  <c r="N225" i="13" l="1"/>
  <c r="N226" i="13" s="1"/>
  <c r="M226" i="13"/>
  <c r="Q218" i="13"/>
  <c r="R218" i="13" s="1"/>
  <c r="A15" i="13"/>
  <c r="A16" i="13" s="1"/>
  <c r="A17" i="13" s="1"/>
  <c r="A18" i="13" s="1"/>
  <c r="A19" i="13" s="1"/>
  <c r="A23" i="13" s="1"/>
  <c r="I103" i="16"/>
  <c r="H103" i="16"/>
  <c r="I99" i="16"/>
  <c r="H99" i="16"/>
  <c r="I82" i="16"/>
  <c r="H82" i="16"/>
  <c r="I77" i="16"/>
  <c r="H77" i="16"/>
  <c r="I61" i="16"/>
  <c r="H61" i="16"/>
  <c r="K61" i="16" s="1"/>
  <c r="I59" i="16"/>
  <c r="I53" i="16"/>
  <c r="H53" i="16"/>
  <c r="H59" i="16"/>
  <c r="I41" i="16"/>
  <c r="I42" i="16" s="1"/>
  <c r="H41" i="16"/>
  <c r="H42" i="16" s="1"/>
  <c r="I36" i="16"/>
  <c r="I38" i="16" s="1"/>
  <c r="H36" i="16"/>
  <c r="H38" i="16" s="1"/>
  <c r="I12" i="16"/>
  <c r="I13" i="16" s="1"/>
  <c r="H12" i="16"/>
  <c r="K62" i="13"/>
  <c r="P62" i="13"/>
  <c r="I65" i="13"/>
  <c r="J65" i="13"/>
  <c r="I14" i="13"/>
  <c r="I15" i="13"/>
  <c r="H13" i="16" l="1"/>
  <c r="K12" i="16"/>
  <c r="K53" i="16"/>
  <c r="L53" i="16" s="1"/>
  <c r="Q225" i="13"/>
  <c r="Q226" i="13" s="1"/>
  <c r="K103" i="16"/>
  <c r="K13" i="16"/>
  <c r="L65" i="13"/>
  <c r="M65" i="13" s="1"/>
  <c r="K104" i="16" l="1"/>
  <c r="L103" i="16"/>
  <c r="N65" i="13"/>
  <c r="Q65" i="13" s="1"/>
  <c r="R65" i="13" s="1"/>
  <c r="R225" i="13"/>
  <c r="R226" i="13" s="1"/>
  <c r="I319" i="4" l="1"/>
  <c r="M319" i="4"/>
  <c r="F319" i="4"/>
  <c r="I310" i="4"/>
  <c r="M310" i="4"/>
  <c r="F310" i="4"/>
  <c r="F345" i="4" s="1"/>
  <c r="G296" i="4"/>
  <c r="H296" i="4"/>
  <c r="K129" i="13"/>
  <c r="J266" i="13"/>
  <c r="I266" i="13"/>
  <c r="I128" i="13"/>
  <c r="J128" i="13"/>
  <c r="I345" i="4" l="1"/>
  <c r="L128" i="13"/>
  <c r="J296" i="4"/>
  <c r="K296" i="4" s="1"/>
  <c r="L266" i="13"/>
  <c r="J95" i="13"/>
  <c r="J97" i="13" s="1"/>
  <c r="I95" i="13"/>
  <c r="I97" i="13" s="1"/>
  <c r="H104" i="16"/>
  <c r="I104" i="16"/>
  <c r="J104" i="16"/>
  <c r="G104" i="16"/>
  <c r="M266" i="13" l="1"/>
  <c r="M128" i="13"/>
  <c r="N128" i="13" s="1"/>
  <c r="L95" i="13"/>
  <c r="L97" i="13" s="1"/>
  <c r="M95" i="13" l="1"/>
  <c r="M97" i="13" s="1"/>
  <c r="Q266" i="13" l="1"/>
  <c r="R266" i="13" s="1"/>
  <c r="O274" i="13"/>
  <c r="Q128" i="13"/>
  <c r="R128" i="13" l="1"/>
  <c r="Q95" i="13"/>
  <c r="Q97" i="13" s="1"/>
  <c r="R95" i="13" l="1"/>
  <c r="R97" i="13" s="1"/>
  <c r="H96" i="16" l="1"/>
  <c r="I96" i="16"/>
  <c r="J96" i="16"/>
  <c r="G96" i="16"/>
  <c r="L95" i="16"/>
  <c r="L96" i="16" s="1"/>
  <c r="P262" i="13"/>
  <c r="H262" i="13"/>
  <c r="K238" i="13"/>
  <c r="P238" i="13"/>
  <c r="H238" i="13"/>
  <c r="K234" i="13"/>
  <c r="P234" i="13"/>
  <c r="H234" i="13"/>
  <c r="K200" i="13"/>
  <c r="P200" i="13"/>
  <c r="H200" i="13"/>
  <c r="K187" i="13"/>
  <c r="P187" i="13"/>
  <c r="H187" i="13"/>
  <c r="K101" i="13"/>
  <c r="H101" i="13"/>
  <c r="J169" i="13"/>
  <c r="J170" i="13" s="1"/>
  <c r="I169" i="13"/>
  <c r="I170" i="13" s="1"/>
  <c r="P25" i="13"/>
  <c r="H115" i="4"/>
  <c r="G115" i="4"/>
  <c r="J41" i="13"/>
  <c r="I41" i="13"/>
  <c r="P26" i="13" l="1"/>
  <c r="J115" i="4"/>
  <c r="K115" i="4" s="1"/>
  <c r="L115" i="4" s="1"/>
  <c r="L169" i="13"/>
  <c r="L41" i="13"/>
  <c r="M41" i="13" s="1"/>
  <c r="N41" i="13" s="1"/>
  <c r="L170" i="13" l="1"/>
  <c r="Q169" i="13"/>
  <c r="R169" i="13" s="1"/>
  <c r="N115" i="4"/>
  <c r="O115" i="4" s="1"/>
  <c r="Q41" i="13"/>
  <c r="M169" i="13"/>
  <c r="M170" i="13" s="1"/>
  <c r="R41" i="13" l="1"/>
  <c r="I208" i="13"/>
  <c r="J208" i="13"/>
  <c r="I144" i="13"/>
  <c r="J144" i="13"/>
  <c r="I139" i="13"/>
  <c r="J139" i="13"/>
  <c r="I40" i="13"/>
  <c r="J40" i="13"/>
  <c r="G282" i="4"/>
  <c r="H282" i="4"/>
  <c r="I20" i="16"/>
  <c r="I21" i="16" s="1"/>
  <c r="H20" i="16"/>
  <c r="J21" i="16"/>
  <c r="G21" i="16"/>
  <c r="K20" i="16" l="1"/>
  <c r="L20" i="16" s="1"/>
  <c r="H21" i="16"/>
  <c r="Q170" i="13"/>
  <c r="L144" i="13"/>
  <c r="L208" i="13"/>
  <c r="M208" i="13" s="1"/>
  <c r="N208" i="13" s="1"/>
  <c r="L139" i="13"/>
  <c r="M139" i="13" s="1"/>
  <c r="L40" i="13"/>
  <c r="M40" i="13" s="1"/>
  <c r="N40" i="13" s="1"/>
  <c r="J282" i="4"/>
  <c r="K21" i="16" l="1"/>
  <c r="N139" i="13"/>
  <c r="Q139" i="13" s="1"/>
  <c r="K282" i="4"/>
  <c r="R170" i="13"/>
  <c r="Q40" i="13"/>
  <c r="R40" i="13" s="1"/>
  <c r="Q208" i="13"/>
  <c r="R208" i="13" s="1"/>
  <c r="M144" i="13"/>
  <c r="N144" i="13" s="1"/>
  <c r="L21" i="16"/>
  <c r="N282" i="4" l="1"/>
  <c r="O282" i="4" s="1"/>
  <c r="R139" i="13"/>
  <c r="J61" i="13"/>
  <c r="J62" i="13" s="1"/>
  <c r="I61" i="13"/>
  <c r="I62" i="13" s="1"/>
  <c r="Q144" i="13" l="1"/>
  <c r="L61" i="13"/>
  <c r="L62" i="13" s="1"/>
  <c r="R144" i="13" l="1"/>
  <c r="M61" i="13"/>
  <c r="M62" i="13" s="1"/>
  <c r="N61" i="13" l="1"/>
  <c r="N62" i="13" s="1"/>
  <c r="Q61" i="13" l="1"/>
  <c r="Q62" i="13" s="1"/>
  <c r="R61" i="13" l="1"/>
  <c r="R62" i="13" s="1"/>
  <c r="G104" i="4"/>
  <c r="J104" i="4" l="1"/>
  <c r="K104" i="4" l="1"/>
  <c r="L104" i="4" s="1"/>
  <c r="N104" i="4" l="1"/>
  <c r="O104" i="4" l="1"/>
  <c r="J50" i="16"/>
  <c r="I50" i="16"/>
  <c r="H50" i="16"/>
  <c r="G50" i="16"/>
  <c r="J265" i="13"/>
  <c r="J268" i="13" s="1"/>
  <c r="I265" i="13"/>
  <c r="I268" i="13" s="1"/>
  <c r="J244" i="13"/>
  <c r="I244" i="13"/>
  <c r="I181" i="13"/>
  <c r="J181" i="13"/>
  <c r="J163" i="13"/>
  <c r="I163" i="13"/>
  <c r="J25" i="13"/>
  <c r="I25" i="13"/>
  <c r="L49" i="16" l="1"/>
  <c r="L50" i="16" s="1"/>
  <c r="L265" i="13"/>
  <c r="L268" i="13" s="1"/>
  <c r="L244" i="13"/>
  <c r="L181" i="13"/>
  <c r="M181" i="13" s="1"/>
  <c r="N181" i="13" s="1"/>
  <c r="L163" i="13"/>
  <c r="L25" i="13"/>
  <c r="H23" i="4"/>
  <c r="G23" i="4"/>
  <c r="G10" i="4"/>
  <c r="H10" i="4"/>
  <c r="M163" i="13" l="1"/>
  <c r="N163" i="13" s="1"/>
  <c r="Q163" i="13" s="1"/>
  <c r="M265" i="13"/>
  <c r="M244" i="13"/>
  <c r="N244" i="13" s="1"/>
  <c r="Q181" i="13"/>
  <c r="R181" i="13" s="1"/>
  <c r="M25" i="13"/>
  <c r="N25" i="13" s="1"/>
  <c r="Q25" i="13" s="1"/>
  <c r="R25" i="13" s="1"/>
  <c r="J23" i="4"/>
  <c r="K23" i="4" s="1"/>
  <c r="J10" i="4"/>
  <c r="L23" i="4" l="1"/>
  <c r="N23" i="4" s="1"/>
  <c r="O23" i="4" s="1"/>
  <c r="M268" i="13"/>
  <c r="N265" i="13"/>
  <c r="K10" i="4"/>
  <c r="L10" i="4" s="1"/>
  <c r="N10" i="4" s="1"/>
  <c r="O10" i="4" s="1"/>
  <c r="Q265" i="13" l="1"/>
  <c r="N268" i="13"/>
  <c r="Q244" i="13"/>
  <c r="R244" i="13" s="1"/>
  <c r="Q268" i="13"/>
  <c r="R163" i="13" l="1"/>
  <c r="R265" i="13"/>
  <c r="R268" i="13" s="1"/>
  <c r="K62" i="16" l="1"/>
  <c r="K8" i="16"/>
  <c r="K9" i="16" s="1"/>
  <c r="J233" i="13"/>
  <c r="J234" i="13" s="1"/>
  <c r="J186" i="13"/>
  <c r="J187" i="13" s="1"/>
  <c r="J212" i="13"/>
  <c r="I212" i="13"/>
  <c r="J164" i="13"/>
  <c r="J165" i="13" s="1"/>
  <c r="I164" i="13"/>
  <c r="I165" i="13" s="1"/>
  <c r="J122" i="13"/>
  <c r="J123" i="13" s="1"/>
  <c r="I122" i="13"/>
  <c r="I123" i="13" s="1"/>
  <c r="J23" i="13"/>
  <c r="J14" i="13"/>
  <c r="H27" i="4"/>
  <c r="H28" i="4" s="1"/>
  <c r="G342" i="4"/>
  <c r="H342" i="4"/>
  <c r="G257" i="4"/>
  <c r="H257" i="4"/>
  <c r="G258" i="4"/>
  <c r="H258" i="4"/>
  <c r="G259" i="4"/>
  <c r="H259" i="4"/>
  <c r="G256" i="4"/>
  <c r="H256" i="4"/>
  <c r="J258" i="4" l="1"/>
  <c r="J342" i="4"/>
  <c r="L212" i="13"/>
  <c r="L164" i="13"/>
  <c r="L165" i="13" s="1"/>
  <c r="L122" i="13"/>
  <c r="L123" i="13" s="1"/>
  <c r="J257" i="4"/>
  <c r="J259" i="4"/>
  <c r="J256" i="4"/>
  <c r="K256" i="4" s="1"/>
  <c r="H92" i="4"/>
  <c r="G13" i="4"/>
  <c r="H13" i="4"/>
  <c r="L256" i="4" l="1"/>
  <c r="N256" i="4" s="1"/>
  <c r="O256" i="4" s="1"/>
  <c r="K259" i="4"/>
  <c r="L259" i="4" s="1"/>
  <c r="N259" i="4" s="1"/>
  <c r="O259" i="4" s="1"/>
  <c r="K257" i="4"/>
  <c r="L257" i="4" s="1"/>
  <c r="N257" i="4" s="1"/>
  <c r="O257" i="4" s="1"/>
  <c r="K342" i="4"/>
  <c r="K258" i="4"/>
  <c r="L258" i="4" s="1"/>
  <c r="N258" i="4" s="1"/>
  <c r="O258" i="4" s="1"/>
  <c r="M122" i="13"/>
  <c r="M212" i="13"/>
  <c r="N212" i="13" s="1"/>
  <c r="M164" i="13"/>
  <c r="J13" i="4"/>
  <c r="K13" i="4" s="1"/>
  <c r="L13" i="4" s="1"/>
  <c r="N13" i="4" s="1"/>
  <c r="O13" i="4" s="1"/>
  <c r="M165" i="13" l="1"/>
  <c r="N164" i="13"/>
  <c r="M123" i="13"/>
  <c r="N122" i="13"/>
  <c r="N123" i="13" s="1"/>
  <c r="N342" i="4"/>
  <c r="O342" i="4" s="1"/>
  <c r="Q252" i="13"/>
  <c r="N165" i="13" l="1"/>
  <c r="Q164" i="13"/>
  <c r="R164" i="13" s="1"/>
  <c r="R252" i="13"/>
  <c r="Q122" i="13"/>
  <c r="Q123" i="13" s="1"/>
  <c r="Q212" i="13"/>
  <c r="Q165" i="13"/>
  <c r="R122" i="13" l="1"/>
  <c r="R123" i="13" s="1"/>
  <c r="R212" i="13"/>
  <c r="R165" i="13"/>
  <c r="K99" i="16" l="1"/>
  <c r="K100" i="16" s="1"/>
  <c r="K17" i="16"/>
  <c r="P149" i="13"/>
  <c r="L14" i="13"/>
  <c r="G339" i="4"/>
  <c r="H339" i="4"/>
  <c r="J49" i="4"/>
  <c r="J88" i="4"/>
  <c r="K88" i="4" s="1"/>
  <c r="L88" i="4" s="1"/>
  <c r="J92" i="4"/>
  <c r="J117" i="4"/>
  <c r="K117" i="4" s="1"/>
  <c r="L117" i="4" s="1"/>
  <c r="J133" i="4"/>
  <c r="J140" i="4"/>
  <c r="N1000185" i="4"/>
  <c r="J50" i="4" l="1"/>
  <c r="K49" i="4"/>
  <c r="K50" i="4" s="1"/>
  <c r="N117" i="4"/>
  <c r="O117" i="4" s="1"/>
  <c r="M14" i="13"/>
  <c r="N14" i="13" s="1"/>
  <c r="K140" i="4"/>
  <c r="L140" i="4" s="1"/>
  <c r="K133" i="4"/>
  <c r="L133" i="4" s="1"/>
  <c r="K92" i="4"/>
  <c r="L92" i="4" s="1"/>
  <c r="N88" i="4"/>
  <c r="J339" i="4"/>
  <c r="K339" i="4" s="1"/>
  <c r="N133" i="4" l="1"/>
  <c r="N339" i="4"/>
  <c r="O339" i="4" s="1"/>
  <c r="L49" i="4"/>
  <c r="L50" i="4" s="1"/>
  <c r="N140" i="4" l="1"/>
  <c r="O140" i="4" s="1"/>
  <c r="Q14" i="13"/>
  <c r="N92" i="4"/>
  <c r="N93" i="4" s="1"/>
  <c r="N49" i="4"/>
  <c r="N50" i="4" s="1"/>
  <c r="I233" i="13" l="1"/>
  <c r="I234" i="13" s="1"/>
  <c r="L233" i="13" l="1"/>
  <c r="L234" i="13" s="1"/>
  <c r="H236" i="4"/>
  <c r="M233" i="13" l="1"/>
  <c r="M234" i="13" l="1"/>
  <c r="N233" i="13"/>
  <c r="N234" i="13" s="1"/>
  <c r="R14" i="13"/>
  <c r="Q233" i="13" l="1"/>
  <c r="Q234" i="13" s="1"/>
  <c r="H73" i="4"/>
  <c r="G73" i="4"/>
  <c r="R233" i="13" l="1"/>
  <c r="R234" i="13" s="1"/>
  <c r="J73" i="4"/>
  <c r="K73" i="4" l="1"/>
  <c r="P101" i="13"/>
  <c r="H105" i="4"/>
  <c r="G105" i="4"/>
  <c r="H141" i="4"/>
  <c r="G141" i="4"/>
  <c r="G142" i="4" s="1"/>
  <c r="G240" i="4"/>
  <c r="H240" i="4"/>
  <c r="H142" i="4" l="1"/>
  <c r="N141" i="4"/>
  <c r="O141" i="4" s="1"/>
  <c r="L73" i="4"/>
  <c r="N73" i="4" s="1"/>
  <c r="O73" i="4" s="1"/>
  <c r="J105" i="4"/>
  <c r="J141" i="4"/>
  <c r="J142" i="4" s="1"/>
  <c r="J240" i="4"/>
  <c r="K240" i="4" s="1"/>
  <c r="L240" i="4" s="1"/>
  <c r="N240" i="4" s="1"/>
  <c r="O240" i="4" s="1"/>
  <c r="K105" i="4" l="1"/>
  <c r="L105" i="4" s="1"/>
  <c r="K141" i="4"/>
  <c r="K142" i="4" l="1"/>
  <c r="L142" i="4"/>
  <c r="G79" i="16"/>
  <c r="G74" i="16"/>
  <c r="B8" i="16"/>
  <c r="H84" i="16"/>
  <c r="I84" i="16"/>
  <c r="H79" i="16"/>
  <c r="I79" i="16"/>
  <c r="N105" i="4" l="1"/>
  <c r="L58" i="16"/>
  <c r="N142" i="4"/>
  <c r="O105" i="4" l="1"/>
  <c r="I23" i="13"/>
  <c r="J15" i="13"/>
  <c r="M223" i="4" l="1"/>
  <c r="M345" i="4" s="1"/>
  <c r="L23" i="13"/>
  <c r="L15" i="13"/>
  <c r="M15" i="13" l="1"/>
  <c r="N15" i="13" s="1"/>
  <c r="M23" i="13"/>
  <c r="G176" i="4"/>
  <c r="H176" i="4"/>
  <c r="N23" i="13" l="1"/>
  <c r="J176" i="4"/>
  <c r="K176" i="4" s="1"/>
  <c r="L176" i="4" s="1"/>
  <c r="Q15" i="13" l="1"/>
  <c r="Q23" i="13"/>
  <c r="N176" i="4"/>
  <c r="O176" i="4" s="1"/>
  <c r="J110" i="13"/>
  <c r="J112" i="13" s="1"/>
  <c r="I110" i="13"/>
  <c r="I112" i="13" s="1"/>
  <c r="I209" i="13"/>
  <c r="J209" i="13"/>
  <c r="I191" i="13"/>
  <c r="J191" i="13"/>
  <c r="R15" i="13" l="1"/>
  <c r="L209" i="13"/>
  <c r="M209" i="13" s="1"/>
  <c r="N209" i="13" s="1"/>
  <c r="L191" i="13"/>
  <c r="M191" i="13" s="1"/>
  <c r="N191" i="13" s="1"/>
  <c r="Q191" i="13" s="1"/>
  <c r="R191" i="13" s="1"/>
  <c r="L110" i="13"/>
  <c r="L112" i="13" s="1"/>
  <c r="Q209" i="13" l="1"/>
  <c r="R209" i="13" s="1"/>
  <c r="M110" i="13"/>
  <c r="M112" i="13" l="1"/>
  <c r="N110" i="13"/>
  <c r="N112" i="13" s="1"/>
  <c r="L104" i="16"/>
  <c r="Q110" i="13" l="1"/>
  <c r="Q112" i="13" s="1"/>
  <c r="J16" i="13"/>
  <c r="J20" i="13" s="1"/>
  <c r="I16" i="13"/>
  <c r="I20" i="13" s="1"/>
  <c r="R110" i="13" l="1"/>
  <c r="R112" i="13" s="1"/>
  <c r="L16" i="13"/>
  <c r="L20" i="13" s="1"/>
  <c r="M16" i="13" l="1"/>
  <c r="N16" i="13" s="1"/>
  <c r="G292" i="4"/>
  <c r="H292" i="4"/>
  <c r="M20" i="13" l="1"/>
  <c r="N20" i="13"/>
  <c r="J292" i="4"/>
  <c r="K292" i="4" s="1"/>
  <c r="H96" i="4"/>
  <c r="G96" i="4"/>
  <c r="H75" i="4"/>
  <c r="G75" i="4"/>
  <c r="G58" i="4"/>
  <c r="H58" i="4"/>
  <c r="O88" i="4"/>
  <c r="Q16" i="13" l="1"/>
  <c r="Q20" i="13" s="1"/>
  <c r="N292" i="4"/>
  <c r="O292" i="4" s="1"/>
  <c r="J75" i="4"/>
  <c r="J58" i="4"/>
  <c r="J96" i="4"/>
  <c r="K96" i="4" l="1"/>
  <c r="L96" i="4" s="1"/>
  <c r="K75" i="4"/>
  <c r="L75" i="4" s="1"/>
  <c r="K58" i="4"/>
  <c r="L58" i="4" s="1"/>
  <c r="R16" i="13"/>
  <c r="R20" i="13" s="1"/>
  <c r="J84" i="13"/>
  <c r="J88" i="13" s="1"/>
  <c r="I84" i="13"/>
  <c r="I88" i="13" s="1"/>
  <c r="J29" i="13"/>
  <c r="I29" i="13"/>
  <c r="N75" i="4" l="1"/>
  <c r="O75" i="4" s="1"/>
  <c r="N96" i="4"/>
  <c r="L29" i="13"/>
  <c r="L84" i="13"/>
  <c r="L88" i="13" s="1"/>
  <c r="K77" i="16"/>
  <c r="K79" i="16" s="1"/>
  <c r="J62" i="16"/>
  <c r="I62" i="16"/>
  <c r="H62" i="16"/>
  <c r="G62" i="16"/>
  <c r="K66" i="16"/>
  <c r="G66" i="16"/>
  <c r="H66" i="16"/>
  <c r="I66" i="16"/>
  <c r="J66" i="16"/>
  <c r="K69" i="16"/>
  <c r="K70" i="16" s="1"/>
  <c r="G70" i="16"/>
  <c r="H70" i="16"/>
  <c r="I70" i="16"/>
  <c r="J70" i="16"/>
  <c r="H168" i="4"/>
  <c r="G168" i="4"/>
  <c r="H165" i="4"/>
  <c r="G165" i="4"/>
  <c r="H123" i="4"/>
  <c r="G123" i="4"/>
  <c r="H37" i="4"/>
  <c r="G37" i="4"/>
  <c r="O96" i="4" l="1"/>
  <c r="N58" i="4"/>
  <c r="L65" i="16"/>
  <c r="L66" i="16" s="1"/>
  <c r="M84" i="13"/>
  <c r="J37" i="4"/>
  <c r="J168" i="4"/>
  <c r="K168" i="4" s="1"/>
  <c r="L168" i="4" s="1"/>
  <c r="N168" i="4" s="1"/>
  <c r="O168" i="4" s="1"/>
  <c r="M29" i="13"/>
  <c r="J123" i="4"/>
  <c r="J165" i="4"/>
  <c r="L69" i="16"/>
  <c r="L70" i="16" s="1"/>
  <c r="L77" i="16"/>
  <c r="L61" i="16"/>
  <c r="L62" i="16" s="1"/>
  <c r="M88" i="13" l="1"/>
  <c r="N87" i="13" s="1"/>
  <c r="Q87" i="13" s="1"/>
  <c r="R87" i="13" s="1"/>
  <c r="N84" i="13"/>
  <c r="N88" i="13" s="1"/>
  <c r="N29" i="13"/>
  <c r="O58" i="4"/>
  <c r="K37" i="4"/>
  <c r="L37" i="4" s="1"/>
  <c r="K165" i="4"/>
  <c r="L165" i="4" s="1"/>
  <c r="K123" i="4"/>
  <c r="L123" i="4" s="1"/>
  <c r="N37" i="4" l="1"/>
  <c r="O37" i="4" s="1"/>
  <c r="N123" i="4"/>
  <c r="Q84" i="13"/>
  <c r="Q88" i="13" s="1"/>
  <c r="Q29" i="13"/>
  <c r="R29" i="13" l="1"/>
  <c r="R84" i="13"/>
  <c r="R88" i="13" s="1"/>
  <c r="N165" i="4"/>
  <c r="O123" i="4"/>
  <c r="O165" i="4" l="1"/>
  <c r="K74" i="16" l="1"/>
  <c r="J147" i="13" l="1"/>
  <c r="J149" i="13" s="1"/>
  <c r="I147" i="13"/>
  <c r="I149" i="13" s="1"/>
  <c r="J229" i="13"/>
  <c r="I229" i="13"/>
  <c r="L147" i="13" l="1"/>
  <c r="L229" i="13"/>
  <c r="K54" i="16"/>
  <c r="H74" i="16"/>
  <c r="I74" i="16"/>
  <c r="J74" i="16"/>
  <c r="K59" i="16"/>
  <c r="L149" i="13" l="1"/>
  <c r="M147" i="13"/>
  <c r="N147" i="13" s="1"/>
  <c r="Q147" i="13" s="1"/>
  <c r="R147" i="13" s="1"/>
  <c r="M229" i="13"/>
  <c r="N229" i="13" s="1"/>
  <c r="J138" i="13"/>
  <c r="J140" i="13" s="1"/>
  <c r="I138" i="13"/>
  <c r="I140" i="13" s="1"/>
  <c r="I143" i="13"/>
  <c r="I145" i="13" s="1"/>
  <c r="J143" i="13"/>
  <c r="I217" i="13"/>
  <c r="J217" i="13"/>
  <c r="G212" i="4"/>
  <c r="H212" i="4"/>
  <c r="L59" i="16" l="1"/>
  <c r="M149" i="13"/>
  <c r="J145" i="13"/>
  <c r="L143" i="13"/>
  <c r="L145" i="13" s="1"/>
  <c r="L217" i="13"/>
  <c r="M217" i="13" s="1"/>
  <c r="N217" i="13" s="1"/>
  <c r="L138" i="13"/>
  <c r="L140" i="13" s="1"/>
  <c r="J212" i="4"/>
  <c r="K212" i="4" l="1"/>
  <c r="L212" i="4" s="1"/>
  <c r="Q229" i="13"/>
  <c r="Q217" i="13"/>
  <c r="M143" i="13"/>
  <c r="N143" i="13" s="1"/>
  <c r="M138" i="13"/>
  <c r="J58" i="13"/>
  <c r="I58" i="13"/>
  <c r="J91" i="13"/>
  <c r="J93" i="13" s="1"/>
  <c r="I91" i="13"/>
  <c r="I93" i="13" s="1"/>
  <c r="J79" i="13"/>
  <c r="I79" i="13"/>
  <c r="J253" i="13"/>
  <c r="J254" i="13" s="1"/>
  <c r="H330" i="4"/>
  <c r="H331" i="4"/>
  <c r="H332" i="4"/>
  <c r="H333" i="4"/>
  <c r="H334" i="4"/>
  <c r="H335" i="4"/>
  <c r="H336" i="4"/>
  <c r="H340" i="4"/>
  <c r="H337" i="4"/>
  <c r="H341" i="4"/>
  <c r="H338" i="4"/>
  <c r="H329" i="4"/>
  <c r="G322" i="4"/>
  <c r="H322" i="4"/>
  <c r="N322" i="4" s="1"/>
  <c r="J39" i="13"/>
  <c r="I39" i="13"/>
  <c r="J73" i="13"/>
  <c r="I73" i="13"/>
  <c r="I74" i="13" s="1"/>
  <c r="J11" i="13"/>
  <c r="J9" i="16"/>
  <c r="I9" i="16"/>
  <c r="G245" i="4"/>
  <c r="H245" i="4"/>
  <c r="G246" i="4"/>
  <c r="H246" i="4"/>
  <c r="G247" i="4"/>
  <c r="H247" i="4"/>
  <c r="G248" i="4"/>
  <c r="H248" i="4"/>
  <c r="G251" i="4"/>
  <c r="H251" i="4"/>
  <c r="G252" i="4"/>
  <c r="H252" i="4"/>
  <c r="G253" i="4"/>
  <c r="H253" i="4"/>
  <c r="G250" i="4"/>
  <c r="H250" i="4"/>
  <c r="G249" i="4"/>
  <c r="H249" i="4"/>
  <c r="G254" i="4"/>
  <c r="H254" i="4"/>
  <c r="G255" i="4"/>
  <c r="H255" i="4"/>
  <c r="G239" i="4"/>
  <c r="H239" i="4"/>
  <c r="G243" i="4"/>
  <c r="H243" i="4"/>
  <c r="G244" i="4"/>
  <c r="H244" i="4"/>
  <c r="H106" i="4"/>
  <c r="H98" i="4"/>
  <c r="G97" i="4"/>
  <c r="N243" i="4" l="1"/>
  <c r="O243" i="4" s="1"/>
  <c r="N138" i="13"/>
  <c r="M140" i="13"/>
  <c r="G270" i="4"/>
  <c r="H270" i="4"/>
  <c r="J74" i="13"/>
  <c r="L73" i="13"/>
  <c r="M145" i="13"/>
  <c r="N145" i="13"/>
  <c r="H343" i="4"/>
  <c r="N212" i="4"/>
  <c r="N213" i="4" s="1"/>
  <c r="R217" i="13"/>
  <c r="J243" i="4"/>
  <c r="K243" i="4" s="1"/>
  <c r="L79" i="13"/>
  <c r="R229" i="13"/>
  <c r="L91" i="13"/>
  <c r="L93" i="13" s="1"/>
  <c r="L58" i="13"/>
  <c r="L39" i="13"/>
  <c r="L253" i="13"/>
  <c r="L254" i="13" s="1"/>
  <c r="L10" i="13"/>
  <c r="J246" i="4"/>
  <c r="K246" i="4" s="1"/>
  <c r="L246" i="4" s="1"/>
  <c r="N246" i="4" s="1"/>
  <c r="O246" i="4" s="1"/>
  <c r="J254" i="4"/>
  <c r="K254" i="4" s="1"/>
  <c r="J253" i="4"/>
  <c r="K253" i="4" s="1"/>
  <c r="J239" i="4"/>
  <c r="J255" i="4"/>
  <c r="K255" i="4" s="1"/>
  <c r="J248" i="4"/>
  <c r="K248" i="4" s="1"/>
  <c r="J249" i="4"/>
  <c r="K249" i="4" s="1"/>
  <c r="J252" i="4"/>
  <c r="K252" i="4" s="1"/>
  <c r="J247" i="4"/>
  <c r="K247" i="4" s="1"/>
  <c r="J245" i="4"/>
  <c r="K245" i="4" s="1"/>
  <c r="L245" i="4" s="1"/>
  <c r="N245" i="4" s="1"/>
  <c r="O245" i="4" s="1"/>
  <c r="J250" i="4"/>
  <c r="K250" i="4" s="1"/>
  <c r="J251" i="4"/>
  <c r="K251" i="4" s="1"/>
  <c r="J244" i="4"/>
  <c r="K244" i="4" s="1"/>
  <c r="L244" i="4" s="1"/>
  <c r="N244" i="4" s="1"/>
  <c r="O244" i="4" s="1"/>
  <c r="J322" i="4"/>
  <c r="K322" i="4" s="1"/>
  <c r="L87" i="16"/>
  <c r="L88" i="16" s="1"/>
  <c r="L12" i="16"/>
  <c r="L13" i="16" s="1"/>
  <c r="L8" i="16"/>
  <c r="L9" i="16" s="1"/>
  <c r="H9" i="16"/>
  <c r="G8" i="4"/>
  <c r="G9" i="4"/>
  <c r="H9" i="4"/>
  <c r="H11" i="4"/>
  <c r="G11" i="4"/>
  <c r="G12" i="4"/>
  <c r="H12" i="4"/>
  <c r="N12" i="4" s="1"/>
  <c r="O12" i="4" s="1"/>
  <c r="N11" i="4" l="1"/>
  <c r="O11" i="4" s="1"/>
  <c r="Q138" i="13"/>
  <c r="Q140" i="13" s="1"/>
  <c r="N140" i="13"/>
  <c r="J270" i="4"/>
  <c r="L255" i="4"/>
  <c r="N255" i="4" s="1"/>
  <c r="O255" i="4" s="1"/>
  <c r="L248" i="4"/>
  <c r="N248" i="4" s="1"/>
  <c r="O248" i="4" s="1"/>
  <c r="L249" i="4"/>
  <c r="N249" i="4" s="1"/>
  <c r="O249" i="4" s="1"/>
  <c r="L252" i="4"/>
  <c r="N252" i="4" s="1"/>
  <c r="O252" i="4" s="1"/>
  <c r="L253" i="4"/>
  <c r="N253" i="4" s="1"/>
  <c r="O253" i="4" s="1"/>
  <c r="L254" i="4"/>
  <c r="N254" i="4" s="1"/>
  <c r="O254" i="4" s="1"/>
  <c r="L251" i="4"/>
  <c r="N251" i="4" s="1"/>
  <c r="O251" i="4" s="1"/>
  <c r="L250" i="4"/>
  <c r="N250" i="4" s="1"/>
  <c r="O250" i="4" s="1"/>
  <c r="L247" i="4"/>
  <c r="N247" i="4" s="1"/>
  <c r="O247" i="4" s="1"/>
  <c r="G17" i="4"/>
  <c r="H17" i="4"/>
  <c r="L74" i="13"/>
  <c r="J8" i="4"/>
  <c r="K239" i="4"/>
  <c r="K270" i="4" s="1"/>
  <c r="O212" i="4"/>
  <c r="O213" i="4" s="1"/>
  <c r="M79" i="13"/>
  <c r="M10" i="13"/>
  <c r="M91" i="13"/>
  <c r="M39" i="13"/>
  <c r="N39" i="13" s="1"/>
  <c r="M73" i="13"/>
  <c r="N73" i="13" s="1"/>
  <c r="M58" i="13"/>
  <c r="Q143" i="13"/>
  <c r="Q145" i="13" s="1"/>
  <c r="M253" i="13"/>
  <c r="N253" i="13" s="1"/>
  <c r="J11" i="4"/>
  <c r="J9" i="4"/>
  <c r="K9" i="4" s="1"/>
  <c r="L9" i="4" s="1"/>
  <c r="N9" i="4" s="1"/>
  <c r="O9" i="4" s="1"/>
  <c r="J12" i="4"/>
  <c r="N78" i="13" l="1"/>
  <c r="N79" i="13"/>
  <c r="L239" i="4"/>
  <c r="L270" i="4" s="1"/>
  <c r="N254" i="13"/>
  <c r="M254" i="13"/>
  <c r="Q78" i="13"/>
  <c r="R78" i="13" s="1"/>
  <c r="J17" i="4"/>
  <c r="M74" i="13"/>
  <c r="N91" i="13"/>
  <c r="M93" i="13"/>
  <c r="K8" i="4"/>
  <c r="L8" i="4" s="1"/>
  <c r="K12" i="4"/>
  <c r="K11" i="4"/>
  <c r="O322" i="4"/>
  <c r="N10" i="13"/>
  <c r="R143" i="13"/>
  <c r="R145" i="13" s="1"/>
  <c r="R138" i="13"/>
  <c r="R140" i="13" s="1"/>
  <c r="J190" i="13"/>
  <c r="J195" i="13" s="1"/>
  <c r="I190" i="13"/>
  <c r="I195" i="13" s="1"/>
  <c r="I126" i="13"/>
  <c r="L126" i="13" s="1"/>
  <c r="M126" i="13" s="1"/>
  <c r="N126" i="13" s="1"/>
  <c r="N239" i="4" l="1"/>
  <c r="N270" i="4" s="1"/>
  <c r="K17" i="4"/>
  <c r="N74" i="13"/>
  <c r="Q73" i="13"/>
  <c r="Q74" i="13" s="1"/>
  <c r="L17" i="4"/>
  <c r="Q79" i="13"/>
  <c r="Q91" i="13"/>
  <c r="Q39" i="13"/>
  <c r="Q58" i="13"/>
  <c r="Q253" i="13"/>
  <c r="Q254" i="13" s="1"/>
  <c r="L190" i="13"/>
  <c r="L195" i="13" s="1"/>
  <c r="Q10" i="13"/>
  <c r="R58" i="13" l="1"/>
  <c r="R73" i="13"/>
  <c r="R74" i="13" s="1"/>
  <c r="R39" i="13"/>
  <c r="M190" i="13"/>
  <c r="M195" i="13" s="1"/>
  <c r="R10" i="13"/>
  <c r="N8" i="4"/>
  <c r="N17" i="4" s="1"/>
  <c r="J246" i="13"/>
  <c r="J129" i="13"/>
  <c r="K82" i="16"/>
  <c r="J100" i="16"/>
  <c r="I100" i="16"/>
  <c r="H100" i="16"/>
  <c r="G100" i="16"/>
  <c r="J54" i="16"/>
  <c r="I54" i="16"/>
  <c r="H54" i="16"/>
  <c r="G54" i="16"/>
  <c r="N190" i="13" l="1"/>
  <c r="O8" i="4"/>
  <c r="O17" i="4" s="1"/>
  <c r="L82" i="16"/>
  <c r="L73" i="16"/>
  <c r="L74" i="16" s="1"/>
  <c r="L99" i="16"/>
  <c r="L100" i="16" s="1"/>
  <c r="L54" i="16"/>
  <c r="N195" i="13" l="1"/>
  <c r="Q190" i="13"/>
  <c r="R190" i="13" s="1"/>
  <c r="Q126" i="13"/>
  <c r="Q129" i="13" s="1"/>
  <c r="G291" i="4"/>
  <c r="H291" i="4"/>
  <c r="H309" i="4"/>
  <c r="G309" i="4"/>
  <c r="G310" i="4" s="1"/>
  <c r="H175" i="4"/>
  <c r="G175" i="4"/>
  <c r="I186" i="13"/>
  <c r="I187" i="13" s="1"/>
  <c r="Q195" i="13" l="1"/>
  <c r="H310" i="4"/>
  <c r="R126" i="13"/>
  <c r="R129" i="13" s="1"/>
  <c r="R195" i="13"/>
  <c r="L186" i="13"/>
  <c r="L187" i="13" s="1"/>
  <c r="J309" i="4"/>
  <c r="J291" i="4"/>
  <c r="K291" i="4" s="1"/>
  <c r="J175" i="4"/>
  <c r="K175" i="4" s="1"/>
  <c r="L175" i="4" s="1"/>
  <c r="J310" i="4" l="1"/>
  <c r="K309" i="4"/>
  <c r="L309" i="4" s="1"/>
  <c r="N309" i="4" s="1"/>
  <c r="O309" i="4" s="1"/>
  <c r="M186" i="13"/>
  <c r="M187" i="13" s="1"/>
  <c r="N291" i="4"/>
  <c r="O291" i="4" s="1"/>
  <c r="N175" i="4"/>
  <c r="O175" i="4" s="1"/>
  <c r="K310" i="4" l="1"/>
  <c r="L310" i="4"/>
  <c r="N186" i="13"/>
  <c r="N187" i="13" s="1"/>
  <c r="G136" i="4"/>
  <c r="L36" i="16" l="1"/>
  <c r="L38" i="16" s="1"/>
  <c r="N310" i="4"/>
  <c r="Q186" i="13"/>
  <c r="Q187" i="13" s="1"/>
  <c r="B12" i="16"/>
  <c r="B16" i="16" s="1"/>
  <c r="O310" i="4" l="1"/>
  <c r="R186" i="13"/>
  <c r="R187" i="13" s="1"/>
  <c r="B20" i="16" l="1"/>
  <c r="B23" i="16" s="1"/>
  <c r="B27" i="16" s="1"/>
  <c r="B31" i="16" s="1"/>
  <c r="B32" i="16" s="1"/>
  <c r="I216" i="13"/>
  <c r="J216" i="13"/>
  <c r="G64" i="4"/>
  <c r="H64" i="4"/>
  <c r="H20" i="14"/>
  <c r="G20" i="14"/>
  <c r="J100" i="13"/>
  <c r="J101" i="13" s="1"/>
  <c r="I100" i="13"/>
  <c r="I101" i="13" s="1"/>
  <c r="I105" i="13"/>
  <c r="J105" i="13"/>
  <c r="I104" i="13"/>
  <c r="I108" i="13" l="1"/>
  <c r="J20" i="14"/>
  <c r="L105" i="13"/>
  <c r="M105" i="13" s="1"/>
  <c r="N105" i="13" s="1"/>
  <c r="Q105" i="13" s="1"/>
  <c r="R105" i="13" s="1"/>
  <c r="L216" i="13"/>
  <c r="L100" i="13"/>
  <c r="L101" i="13" s="1"/>
  <c r="J64" i="4"/>
  <c r="K20" i="14" l="1"/>
  <c r="K64" i="4"/>
  <c r="L64" i="4" s="1"/>
  <c r="N64" i="4" s="1"/>
  <c r="O64" i="4" s="1"/>
  <c r="M216" i="13"/>
  <c r="N216" i="13" s="1"/>
  <c r="M100" i="13"/>
  <c r="M101" i="13" s="1"/>
  <c r="O239" i="4"/>
  <c r="N100" i="13" l="1"/>
  <c r="N101" i="13" s="1"/>
  <c r="I210" i="13"/>
  <c r="I222" i="13"/>
  <c r="J222" i="13"/>
  <c r="J210" i="13"/>
  <c r="J207" i="13"/>
  <c r="I207" i="13"/>
  <c r="I213" i="13" s="1"/>
  <c r="J198" i="13"/>
  <c r="I198" i="13"/>
  <c r="J38" i="13"/>
  <c r="J45" i="13" s="1"/>
  <c r="I38" i="13"/>
  <c r="I45" i="13" s="1"/>
  <c r="H281" i="4"/>
  <c r="H283" i="4"/>
  <c r="H284" i="4"/>
  <c r="H285" i="4"/>
  <c r="H289" i="4"/>
  <c r="H286" i="4"/>
  <c r="H288" i="4"/>
  <c r="H290" i="4"/>
  <c r="H287" i="4"/>
  <c r="H293" i="4"/>
  <c r="G281" i="4"/>
  <c r="G283" i="4"/>
  <c r="G284" i="4"/>
  <c r="G285" i="4"/>
  <c r="G289" i="4"/>
  <c r="G286" i="4"/>
  <c r="G288" i="4"/>
  <c r="G290" i="4"/>
  <c r="G287" i="4"/>
  <c r="G293" i="4"/>
  <c r="G280" i="4"/>
  <c r="H280" i="4"/>
  <c r="G68" i="4"/>
  <c r="H68" i="4"/>
  <c r="B36" i="16"/>
  <c r="B37" i="16" s="1"/>
  <c r="B41" i="16" s="1"/>
  <c r="B45" i="16" s="1"/>
  <c r="B49" i="16" s="1"/>
  <c r="K999968" i="16"/>
  <c r="C16643" i="16"/>
  <c r="C16645" i="16" s="1"/>
  <c r="K41" i="16"/>
  <c r="K42" i="16" s="1"/>
  <c r="J28" i="16"/>
  <c r="G28" i="16"/>
  <c r="G119" i="16" s="1"/>
  <c r="K28" i="16"/>
  <c r="J17" i="16"/>
  <c r="G17" i="16"/>
  <c r="I17" i="16"/>
  <c r="H17" i="16"/>
  <c r="J213" i="13" l="1"/>
  <c r="L17" i="16"/>
  <c r="J219" i="13"/>
  <c r="J230" i="13"/>
  <c r="I219" i="13"/>
  <c r="I230" i="13"/>
  <c r="L45" i="16"/>
  <c r="L46" i="16" s="1"/>
  <c r="L27" i="16"/>
  <c r="L28" i="16" s="1"/>
  <c r="L41" i="16"/>
  <c r="L42" i="16" s="1"/>
  <c r="Q216" i="13"/>
  <c r="Q100" i="13"/>
  <c r="Q101" i="13" s="1"/>
  <c r="L38" i="13"/>
  <c r="L210" i="13"/>
  <c r="L207" i="13"/>
  <c r="L198" i="13"/>
  <c r="L222" i="13"/>
  <c r="J290" i="4"/>
  <c r="K290" i="4" s="1"/>
  <c r="J286" i="4"/>
  <c r="K286" i="4" s="1"/>
  <c r="J281" i="4"/>
  <c r="J284" i="4"/>
  <c r="K284" i="4" s="1"/>
  <c r="J293" i="4"/>
  <c r="K293" i="4" s="1"/>
  <c r="J68" i="4"/>
  <c r="K68" i="4" s="1"/>
  <c r="L68" i="4" s="1"/>
  <c r="J287" i="4"/>
  <c r="K287" i="4" s="1"/>
  <c r="J285" i="4"/>
  <c r="K285" i="4" s="1"/>
  <c r="J288" i="4"/>
  <c r="K288" i="4" s="1"/>
  <c r="J283" i="4"/>
  <c r="K283" i="4" s="1"/>
  <c r="J280" i="4"/>
  <c r="J289" i="4"/>
  <c r="K289" i="4" s="1"/>
  <c r="I28" i="16"/>
  <c r="I119" i="16" s="1"/>
  <c r="L32" i="16"/>
  <c r="L33" i="16" s="1"/>
  <c r="H28" i="16"/>
  <c r="H119" i="16" s="1"/>
  <c r="L213" i="13" l="1"/>
  <c r="L219" i="13"/>
  <c r="M222" i="13"/>
  <c r="N222" i="13" s="1"/>
  <c r="L230" i="13"/>
  <c r="M38" i="13"/>
  <c r="L45" i="13"/>
  <c r="O20" i="14"/>
  <c r="K280" i="4"/>
  <c r="L280" i="4" s="1"/>
  <c r="K281" i="4"/>
  <c r="R216" i="13"/>
  <c r="R100" i="13"/>
  <c r="R101" i="13" s="1"/>
  <c r="M198" i="13"/>
  <c r="N198" i="13" s="1"/>
  <c r="M207" i="13"/>
  <c r="N288" i="4"/>
  <c r="O288" i="4" s="1"/>
  <c r="N293" i="4"/>
  <c r="O293" i="4" s="1"/>
  <c r="N287" i="4"/>
  <c r="O287" i="4" s="1"/>
  <c r="N285" i="4"/>
  <c r="O285" i="4" s="1"/>
  <c r="N286" i="4"/>
  <c r="N290" i="4"/>
  <c r="O290" i="4" s="1"/>
  <c r="N284" i="4"/>
  <c r="N289" i="4"/>
  <c r="O289" i="4" s="1"/>
  <c r="M210" i="13"/>
  <c r="N210" i="13" s="1"/>
  <c r="M213" i="13" l="1"/>
  <c r="N207" i="13"/>
  <c r="M230" i="13"/>
  <c r="N230" i="13"/>
  <c r="N38" i="13"/>
  <c r="N45" i="13" s="1"/>
  <c r="M45" i="13"/>
  <c r="N213" i="13"/>
  <c r="M219" i="13"/>
  <c r="N219" i="13"/>
  <c r="O284" i="4"/>
  <c r="N283" i="4"/>
  <c r="O283" i="4" s="1"/>
  <c r="N281" i="4"/>
  <c r="N68" i="4"/>
  <c r="O286" i="4"/>
  <c r="G82" i="4"/>
  <c r="H82" i="4"/>
  <c r="G323" i="4"/>
  <c r="G325" i="4" s="1"/>
  <c r="H323" i="4"/>
  <c r="H325" i="4" l="1"/>
  <c r="N323" i="4"/>
  <c r="O323" i="4" s="1"/>
  <c r="Q38" i="13"/>
  <c r="Q45" i="13" s="1"/>
  <c r="O281" i="4"/>
  <c r="Q222" i="13"/>
  <c r="Q207" i="13"/>
  <c r="Q198" i="13"/>
  <c r="N280" i="4"/>
  <c r="Q210" i="13"/>
  <c r="J82" i="4"/>
  <c r="J323" i="4"/>
  <c r="H231" i="4"/>
  <c r="G231" i="4"/>
  <c r="H230" i="4"/>
  <c r="G230" i="4"/>
  <c r="G217" i="4"/>
  <c r="H217" i="4"/>
  <c r="J173" i="13"/>
  <c r="J174" i="13" s="1"/>
  <c r="I173" i="13"/>
  <c r="I174" i="13" s="1"/>
  <c r="R38" i="13" l="1"/>
  <c r="R45" i="13" s="1"/>
  <c r="Q213" i="13"/>
  <c r="Q219" i="13"/>
  <c r="Q230" i="13"/>
  <c r="J325" i="4"/>
  <c r="K323" i="4"/>
  <c r="H232" i="4"/>
  <c r="G232" i="4"/>
  <c r="R198" i="13"/>
  <c r="O280" i="4"/>
  <c r="J230" i="4"/>
  <c r="K230" i="4" s="1"/>
  <c r="L230" i="4" s="1"/>
  <c r="R210" i="13"/>
  <c r="L173" i="13"/>
  <c r="L174" i="13" s="1"/>
  <c r="J231" i="4"/>
  <c r="K231" i="4" s="1"/>
  <c r="L231" i="4" s="1"/>
  <c r="K82" i="4"/>
  <c r="L82" i="4" s="1"/>
  <c r="J217" i="4"/>
  <c r="K217" i="4" s="1"/>
  <c r="L217" i="4" s="1"/>
  <c r="R79" i="13"/>
  <c r="I246" i="13"/>
  <c r="R222" i="13"/>
  <c r="R219" i="13" l="1"/>
  <c r="K325" i="4"/>
  <c r="L325" i="4"/>
  <c r="N230" i="4"/>
  <c r="O230" i="4" s="1"/>
  <c r="M173" i="13"/>
  <c r="N173" i="13" s="1"/>
  <c r="J232" i="4"/>
  <c r="N231" i="4"/>
  <c r="O231" i="4" s="1"/>
  <c r="N217" i="4"/>
  <c r="L246" i="13"/>
  <c r="R91" i="13"/>
  <c r="N174" i="13" l="1"/>
  <c r="M174" i="13"/>
  <c r="O217" i="4"/>
  <c r="K232" i="4"/>
  <c r="L232" i="4"/>
  <c r="N325" i="4"/>
  <c r="N82" i="4"/>
  <c r="M246" i="13" l="1"/>
  <c r="R246" i="13"/>
  <c r="Q173" i="13"/>
  <c r="Q174" i="13" s="1"/>
  <c r="O325" i="4"/>
  <c r="N232" i="4"/>
  <c r="O82" i="4"/>
  <c r="J199" i="13"/>
  <c r="J200" i="13" s="1"/>
  <c r="I200" i="13"/>
  <c r="J158" i="13"/>
  <c r="J160" i="13" s="1"/>
  <c r="I158" i="13"/>
  <c r="I160" i="13" s="1"/>
  <c r="I30" i="13"/>
  <c r="J30" i="13"/>
  <c r="J104" i="13"/>
  <c r="J108" i="13" s="1"/>
  <c r="J51" i="13"/>
  <c r="J53" i="13" s="1"/>
  <c r="I51" i="13"/>
  <c r="I53" i="13" s="1"/>
  <c r="I24" i="13"/>
  <c r="I26" i="13" s="1"/>
  <c r="J24" i="13"/>
  <c r="J26" i="13" s="1"/>
  <c r="Q246" i="13" l="1"/>
  <c r="N246" i="13"/>
  <c r="L30" i="13"/>
  <c r="L51" i="13"/>
  <c r="L53" i="13" s="1"/>
  <c r="L24" i="13"/>
  <c r="L26" i="13" s="1"/>
  <c r="L158" i="13"/>
  <c r="L160" i="13" s="1"/>
  <c r="L104" i="13"/>
  <c r="L108" i="13" s="1"/>
  <c r="L199" i="13"/>
  <c r="L200" i="13" s="1"/>
  <c r="O232" i="4"/>
  <c r="M30" i="13" l="1"/>
  <c r="N30" i="13" s="1"/>
  <c r="M51" i="13"/>
  <c r="M158" i="13"/>
  <c r="M160" i="13" s="1"/>
  <c r="M199" i="13"/>
  <c r="N199" i="13" s="1"/>
  <c r="M104" i="13"/>
  <c r="N104" i="13" s="1"/>
  <c r="Q104" i="13" s="1"/>
  <c r="R104" i="13" s="1"/>
  <c r="M24" i="13"/>
  <c r="M26" i="13" s="1"/>
  <c r="R173" i="13"/>
  <c r="R174" i="13" s="1"/>
  <c r="M53" i="13" l="1"/>
  <c r="N51" i="13"/>
  <c r="N53" i="13" s="1"/>
  <c r="N108" i="13"/>
  <c r="M108" i="13"/>
  <c r="N24" i="13"/>
  <c r="N200" i="13"/>
  <c r="M200" i="13"/>
  <c r="N158" i="13"/>
  <c r="N160" i="13" s="1"/>
  <c r="H15" i="14"/>
  <c r="H21" i="14" s="1"/>
  <c r="G338" i="4"/>
  <c r="G341" i="4"/>
  <c r="G336" i="4"/>
  <c r="G335" i="4"/>
  <c r="G332" i="4"/>
  <c r="J332" i="4" s="1"/>
  <c r="G337" i="4"/>
  <c r="G334" i="4"/>
  <c r="G331" i="4"/>
  <c r="G340" i="4"/>
  <c r="G333" i="4"/>
  <c r="J333" i="4" s="1"/>
  <c r="G330" i="4"/>
  <c r="G190" i="4"/>
  <c r="G329" i="4"/>
  <c r="N26" i="13" l="1"/>
  <c r="Q24" i="13"/>
  <c r="R24" i="13" s="1"/>
  <c r="G343" i="4"/>
  <c r="Q30" i="13"/>
  <c r="K332" i="4"/>
  <c r="K333" i="4"/>
  <c r="Q51" i="13"/>
  <c r="Q53" i="13" s="1"/>
  <c r="Q158" i="13"/>
  <c r="Q160" i="13" s="1"/>
  <c r="Q199" i="13"/>
  <c r="Q200" i="13" s="1"/>
  <c r="Q108" i="13"/>
  <c r="Q26" i="13"/>
  <c r="J331" i="4"/>
  <c r="K331" i="4" s="1"/>
  <c r="J341" i="4"/>
  <c r="J335" i="4"/>
  <c r="J340" i="4"/>
  <c r="J329" i="4"/>
  <c r="K329" i="4" s="1"/>
  <c r="L329" i="4" s="1"/>
  <c r="J334" i="4"/>
  <c r="J336" i="4"/>
  <c r="J338" i="4"/>
  <c r="K338" i="4" s="1"/>
  <c r="J337" i="4"/>
  <c r="K337" i="4" s="1"/>
  <c r="J330" i="4"/>
  <c r="K330" i="4" s="1"/>
  <c r="J343" i="4" l="1"/>
  <c r="R30" i="13"/>
  <c r="N333" i="4"/>
  <c r="O333" i="4" s="1"/>
  <c r="K336" i="4"/>
  <c r="K340" i="4"/>
  <c r="K335" i="4"/>
  <c r="K334" i="4"/>
  <c r="K341" i="4"/>
  <c r="R158" i="13"/>
  <c r="R160" i="13" s="1"/>
  <c r="R51" i="13"/>
  <c r="R53" i="13" s="1"/>
  <c r="R108" i="13"/>
  <c r="R199" i="13"/>
  <c r="R200" i="13" s="1"/>
  <c r="N338" i="4"/>
  <c r="O338" i="4" s="1"/>
  <c r="N332" i="4"/>
  <c r="O332" i="4" s="1"/>
  <c r="G198" i="4"/>
  <c r="G199" i="4" s="1"/>
  <c r="H303" i="4"/>
  <c r="G303" i="4"/>
  <c r="H319" i="4"/>
  <c r="G319" i="4"/>
  <c r="H314" i="4"/>
  <c r="H315" i="4" s="1"/>
  <c r="G314" i="4"/>
  <c r="G315" i="4" s="1"/>
  <c r="H273" i="4"/>
  <c r="H278" i="4" s="1"/>
  <c r="G273" i="4"/>
  <c r="G278" i="4" s="1"/>
  <c r="H203" i="4"/>
  <c r="H205" i="4" s="1"/>
  <c r="G203" i="4"/>
  <c r="G205" i="4" s="1"/>
  <c r="L343" i="4" l="1"/>
  <c r="K343" i="4"/>
  <c r="N341" i="4"/>
  <c r="O341" i="4" s="1"/>
  <c r="N340" i="4"/>
  <c r="O340" i="4" s="1"/>
  <c r="N335" i="4"/>
  <c r="O335" i="4" s="1"/>
  <c r="N334" i="4"/>
  <c r="O334" i="4" s="1"/>
  <c r="N336" i="4"/>
  <c r="O336" i="4" s="1"/>
  <c r="N331" i="4"/>
  <c r="N330" i="4"/>
  <c r="N337" i="4"/>
  <c r="O337" i="4" s="1"/>
  <c r="J203" i="4"/>
  <c r="J205" i="4" s="1"/>
  <c r="J314" i="4"/>
  <c r="J315" i="4" s="1"/>
  <c r="J303" i="4"/>
  <c r="J273" i="4"/>
  <c r="J278" i="4" s="1"/>
  <c r="K273" i="4" l="1"/>
  <c r="K278" i="4" s="1"/>
  <c r="K303" i="4"/>
  <c r="K203" i="4"/>
  <c r="K314" i="4"/>
  <c r="J319" i="4"/>
  <c r="N329" i="4"/>
  <c r="N343" i="4" s="1"/>
  <c r="K315" i="4" l="1"/>
  <c r="L315" i="4"/>
  <c r="L273" i="4"/>
  <c r="L278" i="4" s="1"/>
  <c r="K205" i="4"/>
  <c r="L205" i="4"/>
  <c r="L319" i="4"/>
  <c r="K319" i="4"/>
  <c r="H93" i="4"/>
  <c r="G93" i="4"/>
  <c r="H121" i="4"/>
  <c r="G121" i="4"/>
  <c r="N303" i="4" l="1"/>
  <c r="N319" i="4"/>
  <c r="N203" i="4"/>
  <c r="N205" i="4" s="1"/>
  <c r="J93" i="4"/>
  <c r="N314" i="4"/>
  <c r="N273" i="4"/>
  <c r="N278" i="4" s="1"/>
  <c r="J121" i="4"/>
  <c r="N315" i="4" l="1"/>
  <c r="O314" i="4"/>
  <c r="K121" i="4"/>
  <c r="L121" i="4" s="1"/>
  <c r="O203" i="4"/>
  <c r="O205" i="4" s="1"/>
  <c r="O319" i="4"/>
  <c r="O303" i="4"/>
  <c r="O315" i="4"/>
  <c r="O273" i="4"/>
  <c r="O278" i="4" s="1"/>
  <c r="J118" i="13"/>
  <c r="J120" i="13" s="1"/>
  <c r="I118" i="13"/>
  <c r="I120" i="13" s="1"/>
  <c r="I77" i="13"/>
  <c r="I81" i="13" s="1"/>
  <c r="J77" i="13"/>
  <c r="J81" i="13" s="1"/>
  <c r="O49" i="4"/>
  <c r="O50" i="4" s="1"/>
  <c r="K93" i="4" l="1"/>
  <c r="L93" i="4"/>
  <c r="L77" i="13"/>
  <c r="L81" i="13" s="1"/>
  <c r="L118" i="13"/>
  <c r="L120" i="13" s="1"/>
  <c r="N121" i="4" l="1"/>
  <c r="O121" i="4" s="1"/>
  <c r="M77" i="13"/>
  <c r="M118" i="13"/>
  <c r="M120" i="13" s="1"/>
  <c r="N77" i="13" l="1"/>
  <c r="M81" i="13"/>
  <c r="N80" i="13" s="1"/>
  <c r="N118" i="13"/>
  <c r="N120" i="13" s="1"/>
  <c r="Q80" i="13" l="1"/>
  <c r="R80" i="13" s="1"/>
  <c r="N81" i="13"/>
  <c r="Q77" i="13"/>
  <c r="Q118" i="13"/>
  <c r="Q120" i="13" s="1"/>
  <c r="G174" i="4"/>
  <c r="H174" i="4"/>
  <c r="G166" i="4"/>
  <c r="H166" i="4"/>
  <c r="Q81" i="13" l="1"/>
  <c r="R77" i="13"/>
  <c r="R81" i="13" s="1"/>
  <c r="R118" i="13"/>
  <c r="R120" i="13" s="1"/>
  <c r="J166" i="4"/>
  <c r="J174" i="4"/>
  <c r="K174" i="4" s="1"/>
  <c r="L174" i="4" s="1"/>
  <c r="G111" i="4"/>
  <c r="H111" i="4"/>
  <c r="K166" i="4" l="1"/>
  <c r="L166" i="4" s="1"/>
  <c r="N166" i="4" s="1"/>
  <c r="O166" i="4" s="1"/>
  <c r="N174" i="4"/>
  <c r="J111" i="4"/>
  <c r="K111" i="4" s="1"/>
  <c r="L111" i="4" s="1"/>
  <c r="G53" i="4"/>
  <c r="O174" i="4" l="1"/>
  <c r="N111" i="4"/>
  <c r="O111" i="4" s="1"/>
  <c r="I178" i="13"/>
  <c r="J178" i="13"/>
  <c r="L178" i="13" l="1"/>
  <c r="M178" i="13" l="1"/>
  <c r="N178" i="13" s="1"/>
  <c r="G110" i="4"/>
  <c r="H110" i="4"/>
  <c r="J110" i="4" l="1"/>
  <c r="K110" i="4" s="1"/>
  <c r="L110" i="4" s="1"/>
  <c r="Q178" i="13" l="1"/>
  <c r="J179" i="13"/>
  <c r="I179" i="13"/>
  <c r="H97" i="4"/>
  <c r="G43" i="4"/>
  <c r="H128" i="4"/>
  <c r="G149" i="4"/>
  <c r="G128" i="4"/>
  <c r="G35" i="4"/>
  <c r="H35" i="4"/>
  <c r="G180" i="4"/>
  <c r="G181" i="4" s="1"/>
  <c r="H180" i="4"/>
  <c r="H181" i="4" s="1"/>
  <c r="H53" i="4"/>
  <c r="J53" i="4" s="1"/>
  <c r="K53" i="4" s="1"/>
  <c r="G22" i="4"/>
  <c r="H22" i="4"/>
  <c r="G81" i="4"/>
  <c r="H81" i="4"/>
  <c r="G44" i="4"/>
  <c r="H44" i="4"/>
  <c r="G86" i="4"/>
  <c r="H86" i="4"/>
  <c r="L53" i="4" l="1"/>
  <c r="N53" i="4" s="1"/>
  <c r="H24" i="4"/>
  <c r="J97" i="4"/>
  <c r="K97" i="4" s="1"/>
  <c r="H101" i="4"/>
  <c r="L179" i="13"/>
  <c r="J128" i="4"/>
  <c r="J149" i="4"/>
  <c r="K149" i="4" s="1"/>
  <c r="L149" i="4" s="1"/>
  <c r="J22" i="4"/>
  <c r="J81" i="4"/>
  <c r="K81" i="4" s="1"/>
  <c r="L81" i="4" s="1"/>
  <c r="J86" i="4"/>
  <c r="J35" i="4"/>
  <c r="J44" i="4"/>
  <c r="J180" i="4"/>
  <c r="J181" i="4" s="1"/>
  <c r="R253" i="13"/>
  <c r="R254" i="13" s="1"/>
  <c r="L97" i="4" l="1"/>
  <c r="N97" i="4" s="1"/>
  <c r="O97" i="4" s="1"/>
  <c r="M179" i="13"/>
  <c r="N179" i="13" s="1"/>
  <c r="K35" i="4"/>
  <c r="K86" i="4"/>
  <c r="L86" i="4" s="1"/>
  <c r="K44" i="4"/>
  <c r="L44" i="4" s="1"/>
  <c r="K22" i="4"/>
  <c r="L22" i="4" s="1"/>
  <c r="N22" i="4" s="1"/>
  <c r="O22" i="4" s="1"/>
  <c r="K128" i="4"/>
  <c r="L128" i="4" s="1"/>
  <c r="N149" i="4"/>
  <c r="N150" i="4" s="1"/>
  <c r="K180" i="4"/>
  <c r="K181" i="4" l="1"/>
  <c r="L180" i="4"/>
  <c r="L181" i="4" s="1"/>
  <c r="N35" i="4"/>
  <c r="N128" i="4"/>
  <c r="N44" i="4"/>
  <c r="O44" i="4" s="1"/>
  <c r="N54" i="4"/>
  <c r="Q179" i="13" l="1"/>
  <c r="N86" i="4"/>
  <c r="N180" i="4"/>
  <c r="N181" i="4" s="1"/>
  <c r="N81" i="4"/>
  <c r="R179" i="13" l="1"/>
  <c r="O180" i="4"/>
  <c r="O181" i="4" s="1"/>
  <c r="R207" i="13" l="1"/>
  <c r="R213" i="13" s="1"/>
  <c r="O35" i="4" l="1"/>
  <c r="I32" i="13" l="1"/>
  <c r="I35" i="13" s="1"/>
  <c r="J32" i="13"/>
  <c r="J35" i="13" s="1"/>
  <c r="I180" i="13"/>
  <c r="I183" i="13" s="1"/>
  <c r="J180" i="13"/>
  <c r="J183" i="13" s="1"/>
  <c r="L180" i="13" l="1"/>
  <c r="L183" i="13" s="1"/>
  <c r="L32" i="13"/>
  <c r="L35" i="13" s="1"/>
  <c r="J261" i="13"/>
  <c r="J262" i="13" s="1"/>
  <c r="I261" i="13"/>
  <c r="I262" i="13" s="1"/>
  <c r="M180" i="13" l="1"/>
  <c r="N180" i="13" s="1"/>
  <c r="L261" i="13"/>
  <c r="L262" i="13" s="1"/>
  <c r="M32" i="13"/>
  <c r="N32" i="13" s="1"/>
  <c r="R23" i="13"/>
  <c r="R26" i="13" s="1"/>
  <c r="H59" i="4"/>
  <c r="H173" i="4"/>
  <c r="G59" i="4"/>
  <c r="G60" i="4" s="1"/>
  <c r="G173" i="4"/>
  <c r="M183" i="13" l="1"/>
  <c r="N183" i="13"/>
  <c r="N35" i="13"/>
  <c r="M35" i="13"/>
  <c r="H60" i="4"/>
  <c r="H177" i="4"/>
  <c r="G177" i="4"/>
  <c r="J59" i="4"/>
  <c r="J60" i="4" s="1"/>
  <c r="M261" i="13"/>
  <c r="N261" i="13" s="1"/>
  <c r="J173" i="4"/>
  <c r="K173" i="4" s="1"/>
  <c r="L173" i="4" s="1"/>
  <c r="H159" i="4"/>
  <c r="G159" i="4"/>
  <c r="J177" i="4" l="1"/>
  <c r="K59" i="4"/>
  <c r="L59" i="4" s="1"/>
  <c r="N262" i="13"/>
  <c r="M262" i="13"/>
  <c r="N173" i="4"/>
  <c r="Q180" i="13"/>
  <c r="Q183" i="13" s="1"/>
  <c r="Q32" i="13"/>
  <c r="Q35" i="13" s="1"/>
  <c r="J159" i="4"/>
  <c r="O86" i="4"/>
  <c r="K177" i="4" l="1"/>
  <c r="L177" i="4"/>
  <c r="K60" i="4"/>
  <c r="N59" i="4"/>
  <c r="N60" i="4" s="1"/>
  <c r="O173" i="4"/>
  <c r="Q261" i="13"/>
  <c r="Q262" i="13" s="1"/>
  <c r="R180" i="13"/>
  <c r="R32" i="13"/>
  <c r="R35" i="13" s="1"/>
  <c r="K159" i="4"/>
  <c r="L60" i="4" l="1"/>
  <c r="N177" i="4"/>
  <c r="L159" i="4"/>
  <c r="R261" i="13"/>
  <c r="R262" i="13" s="1"/>
  <c r="J237" i="13"/>
  <c r="I237" i="13"/>
  <c r="J271" i="13"/>
  <c r="I271" i="13"/>
  <c r="I152" i="13"/>
  <c r="I155" i="13" s="1"/>
  <c r="J64" i="13"/>
  <c r="J66" i="13" s="1"/>
  <c r="I64" i="13"/>
  <c r="I66" i="13" s="1"/>
  <c r="I238" i="13" l="1"/>
  <c r="J238" i="13"/>
  <c r="J272" i="13"/>
  <c r="I272" i="13"/>
  <c r="O59" i="4"/>
  <c r="O60" i="4" s="1"/>
  <c r="O177" i="4"/>
  <c r="L152" i="13"/>
  <c r="L155" i="13" s="1"/>
  <c r="L237" i="13"/>
  <c r="L64" i="13"/>
  <c r="L66" i="13" s="1"/>
  <c r="L271" i="13"/>
  <c r="N159" i="4"/>
  <c r="O329" i="4"/>
  <c r="G235" i="4"/>
  <c r="H235" i="4"/>
  <c r="H237" i="4" s="1"/>
  <c r="G236" i="4"/>
  <c r="H185" i="4"/>
  <c r="H186" i="4" s="1"/>
  <c r="G185" i="4"/>
  <c r="G226" i="4"/>
  <c r="H226" i="4"/>
  <c r="G222" i="4"/>
  <c r="H222" i="4"/>
  <c r="G216" i="4"/>
  <c r="G218" i="4" s="1"/>
  <c r="H216" i="4"/>
  <c r="H218" i="4" s="1"/>
  <c r="H198" i="4"/>
  <c r="H161" i="4"/>
  <c r="G161" i="4"/>
  <c r="G162" i="4" s="1"/>
  <c r="H188" i="4"/>
  <c r="G188" i="4"/>
  <c r="H190" i="4"/>
  <c r="H169" i="4"/>
  <c r="G169" i="4"/>
  <c r="H154" i="4"/>
  <c r="H155" i="4" s="1"/>
  <c r="G154" i="4"/>
  <c r="G155" i="4" s="1"/>
  <c r="H124" i="4"/>
  <c r="G124" i="4"/>
  <c r="H134" i="4"/>
  <c r="G134" i="4"/>
  <c r="G137" i="4" s="1"/>
  <c r="H129" i="4"/>
  <c r="H130" i="4" s="1"/>
  <c r="G129" i="4"/>
  <c r="G130" i="4" s="1"/>
  <c r="H136" i="4"/>
  <c r="H167" i="4"/>
  <c r="G167" i="4"/>
  <c r="H109" i="4"/>
  <c r="H113" i="4" s="1"/>
  <c r="G109" i="4"/>
  <c r="G113" i="4" s="1"/>
  <c r="H122" i="4"/>
  <c r="G122" i="4"/>
  <c r="G98" i="4"/>
  <c r="G101" i="4" s="1"/>
  <c r="H87" i="4"/>
  <c r="G87" i="4"/>
  <c r="H42" i="4"/>
  <c r="G42" i="4"/>
  <c r="H43" i="4"/>
  <c r="H116" i="4"/>
  <c r="H118" i="4" s="1"/>
  <c r="G116" i="4"/>
  <c r="G118" i="4" s="1"/>
  <c r="H150" i="4"/>
  <c r="G106" i="4"/>
  <c r="G80" i="4"/>
  <c r="G83" i="4" s="1"/>
  <c r="H80" i="4"/>
  <c r="H83" i="4" s="1"/>
  <c r="G145" i="4"/>
  <c r="G146" i="4" s="1"/>
  <c r="H145" i="4"/>
  <c r="H146" i="4" s="1"/>
  <c r="G20" i="4"/>
  <c r="G24" i="4" s="1"/>
  <c r="G27" i="4"/>
  <c r="G28" i="4" s="1"/>
  <c r="G74" i="4"/>
  <c r="G77" i="4" s="1"/>
  <c r="H74" i="4"/>
  <c r="H77" i="4" s="1"/>
  <c r="G69" i="4"/>
  <c r="G70" i="4" s="1"/>
  <c r="H69" i="4"/>
  <c r="H70" i="4" s="1"/>
  <c r="G45" i="4"/>
  <c r="H45" i="4"/>
  <c r="G36" i="4"/>
  <c r="G39" i="4" s="1"/>
  <c r="H36" i="4"/>
  <c r="H39" i="4" s="1"/>
  <c r="H65" i="4"/>
  <c r="G65" i="4"/>
  <c r="G66" i="4" s="1"/>
  <c r="H199" i="4" l="1"/>
  <c r="H66" i="4"/>
  <c r="H125" i="4"/>
  <c r="G125" i="4"/>
  <c r="H137" i="4"/>
  <c r="G46" i="4"/>
  <c r="H46" i="4"/>
  <c r="G170" i="4"/>
  <c r="H170" i="4"/>
  <c r="G89" i="4"/>
  <c r="H89" i="4"/>
  <c r="H191" i="4"/>
  <c r="J188" i="4"/>
  <c r="K188" i="4" s="1"/>
  <c r="L188" i="4" s="1"/>
  <c r="G191" i="4"/>
  <c r="L238" i="13"/>
  <c r="H162" i="4"/>
  <c r="L272" i="13"/>
  <c r="G186" i="4"/>
  <c r="G223" i="4"/>
  <c r="G237" i="4"/>
  <c r="G150" i="4"/>
  <c r="H227" i="4"/>
  <c r="G227" i="4"/>
  <c r="G54" i="4"/>
  <c r="H54" i="4"/>
  <c r="H223" i="4"/>
  <c r="G213" i="4"/>
  <c r="H213" i="4"/>
  <c r="J43" i="4"/>
  <c r="J98" i="4"/>
  <c r="J101" i="4" s="1"/>
  <c r="J106" i="4"/>
  <c r="J27" i="4"/>
  <c r="M237" i="13"/>
  <c r="M152" i="13"/>
  <c r="M155" i="13" s="1"/>
  <c r="M271" i="13"/>
  <c r="N271" i="13" s="1"/>
  <c r="M64" i="13"/>
  <c r="M66" i="13" s="1"/>
  <c r="J42" i="4"/>
  <c r="J222" i="4"/>
  <c r="J87" i="4"/>
  <c r="J167" i="4"/>
  <c r="J65" i="4"/>
  <c r="J66" i="4" s="1"/>
  <c r="O159" i="4"/>
  <c r="J116" i="4"/>
  <c r="K116" i="4" s="1"/>
  <c r="L116" i="4" s="1"/>
  <c r="J134" i="4"/>
  <c r="J109" i="4"/>
  <c r="J113" i="4" s="1"/>
  <c r="J45" i="4"/>
  <c r="J145" i="4"/>
  <c r="J169" i="4"/>
  <c r="J161" i="4"/>
  <c r="J162" i="4" s="1"/>
  <c r="J236" i="4"/>
  <c r="K236" i="4" s="1"/>
  <c r="J198" i="4"/>
  <c r="J216" i="4"/>
  <c r="J235" i="4"/>
  <c r="K235" i="4" s="1"/>
  <c r="L235" i="4" s="1"/>
  <c r="J80" i="4"/>
  <c r="J83" i="4" s="1"/>
  <c r="J190" i="4"/>
  <c r="K190" i="4" s="1"/>
  <c r="L190" i="4" s="1"/>
  <c r="N190" i="4" s="1"/>
  <c r="O190" i="4" s="1"/>
  <c r="J226" i="4"/>
  <c r="K226" i="4" s="1"/>
  <c r="L226" i="4" s="1"/>
  <c r="J69" i="4"/>
  <c r="J74" i="4"/>
  <c r="J77" i="4" s="1"/>
  <c r="J124" i="4"/>
  <c r="J136" i="4"/>
  <c r="J36" i="4"/>
  <c r="J39" i="4" s="1"/>
  <c r="J20" i="4"/>
  <c r="J122" i="4"/>
  <c r="J129" i="4"/>
  <c r="J154" i="4"/>
  <c r="J155" i="4" s="1"/>
  <c r="J185" i="4"/>
  <c r="O149" i="4"/>
  <c r="O150" i="4" s="1"/>
  <c r="O92" i="4"/>
  <c r="O93" i="4" s="1"/>
  <c r="O330" i="4"/>
  <c r="O331" i="4"/>
  <c r="G15" i="14"/>
  <c r="G21" i="14" s="1"/>
  <c r="N226" i="4" l="1"/>
  <c r="J125" i="4"/>
  <c r="J137" i="4"/>
  <c r="K129" i="4"/>
  <c r="L129" i="4" s="1"/>
  <c r="J130" i="4"/>
  <c r="J118" i="4"/>
  <c r="J46" i="4"/>
  <c r="K145" i="4"/>
  <c r="L145" i="4" s="1"/>
  <c r="J146" i="4"/>
  <c r="O343" i="4"/>
  <c r="K237" i="4"/>
  <c r="J15" i="14"/>
  <c r="J21" i="14" s="1"/>
  <c r="J170" i="4"/>
  <c r="K124" i="4"/>
  <c r="L124" i="4" s="1"/>
  <c r="N124" i="4" s="1"/>
  <c r="K98" i="4"/>
  <c r="L98" i="4" s="1"/>
  <c r="J89" i="4"/>
  <c r="J191" i="4"/>
  <c r="J218" i="4"/>
  <c r="K216" i="4"/>
  <c r="L216" i="4" s="1"/>
  <c r="K227" i="4"/>
  <c r="K213" i="4"/>
  <c r="J28" i="4"/>
  <c r="K27" i="4"/>
  <c r="K28" i="4" s="1"/>
  <c r="K222" i="4"/>
  <c r="L222" i="4" s="1"/>
  <c r="J199" i="4"/>
  <c r="K198" i="4"/>
  <c r="L198" i="4" s="1"/>
  <c r="N198" i="4" s="1"/>
  <c r="O198" i="4" s="1"/>
  <c r="J70" i="4"/>
  <c r="K69" i="4"/>
  <c r="L69" i="4" s="1"/>
  <c r="K74" i="4"/>
  <c r="L74" i="4" s="1"/>
  <c r="K65" i="4"/>
  <c r="L65" i="4" s="1"/>
  <c r="N65" i="4" s="1"/>
  <c r="O65" i="4" s="1"/>
  <c r="K42" i="4"/>
  <c r="L42" i="4" s="1"/>
  <c r="K45" i="4"/>
  <c r="L45" i="4" s="1"/>
  <c r="K36" i="4"/>
  <c r="K39" i="4" s="1"/>
  <c r="J24" i="4"/>
  <c r="K20" i="4"/>
  <c r="M238" i="13"/>
  <c r="J223" i="4"/>
  <c r="M272" i="13"/>
  <c r="J237" i="4"/>
  <c r="J54" i="4"/>
  <c r="J227" i="4"/>
  <c r="J150" i="4"/>
  <c r="K43" i="4"/>
  <c r="L43" i="4" s="1"/>
  <c r="J186" i="4"/>
  <c r="J213" i="4"/>
  <c r="K134" i="4"/>
  <c r="K150" i="4"/>
  <c r="K167" i="4"/>
  <c r="L167" i="4" s="1"/>
  <c r="N167" i="4" s="1"/>
  <c r="O167" i="4" s="1"/>
  <c r="K87" i="4"/>
  <c r="L87" i="4" s="1"/>
  <c r="N64" i="13"/>
  <c r="N66" i="13" s="1"/>
  <c r="K118" i="4"/>
  <c r="N152" i="13"/>
  <c r="N237" i="13"/>
  <c r="Q237" i="13" s="1"/>
  <c r="N188" i="4"/>
  <c r="K185" i="4"/>
  <c r="L185" i="4" s="1"/>
  <c r="K154" i="4"/>
  <c r="L154" i="4" s="1"/>
  <c r="K161" i="4"/>
  <c r="K191" i="4"/>
  <c r="K169" i="4"/>
  <c r="L169" i="4" s="1"/>
  <c r="N169" i="4" s="1"/>
  <c r="O169" i="4" s="1"/>
  <c r="K136" i="4"/>
  <c r="L136" i="4" s="1"/>
  <c r="K122" i="4"/>
  <c r="L122" i="4" s="1"/>
  <c r="K109" i="4"/>
  <c r="L109" i="4" s="1"/>
  <c r="K80" i="4"/>
  <c r="K21" i="4"/>
  <c r="O68" i="4"/>
  <c r="O142" i="4"/>
  <c r="O270" i="4"/>
  <c r="O53" i="4"/>
  <c r="O54" i="4" s="1"/>
  <c r="O128" i="4"/>
  <c r="O81" i="4"/>
  <c r="O133" i="4"/>
  <c r="L21" i="4" l="1"/>
  <c r="N21" i="4" s="1"/>
  <c r="O21" i="4" s="1"/>
  <c r="N155" i="13"/>
  <c r="Q152" i="13"/>
  <c r="L125" i="4"/>
  <c r="K77" i="4"/>
  <c r="L80" i="4"/>
  <c r="L83" i="4" s="1"/>
  <c r="K83" i="4"/>
  <c r="N145" i="4"/>
  <c r="O145" i="4" s="1"/>
  <c r="K162" i="4"/>
  <c r="L161" i="4"/>
  <c r="N222" i="4"/>
  <c r="O222" i="4" s="1"/>
  <c r="K155" i="4"/>
  <c r="K218" i="4"/>
  <c r="L218" i="4"/>
  <c r="L137" i="4"/>
  <c r="K113" i="4"/>
  <c r="K146" i="4"/>
  <c r="L146" i="4"/>
  <c r="K125" i="4"/>
  <c r="K89" i="4"/>
  <c r="L89" i="4"/>
  <c r="K66" i="4"/>
  <c r="L66" i="4"/>
  <c r="K137" i="4"/>
  <c r="K130" i="4"/>
  <c r="N116" i="4"/>
  <c r="L118" i="4"/>
  <c r="L101" i="4"/>
  <c r="K101" i="4"/>
  <c r="L77" i="4"/>
  <c r="K70" i="4"/>
  <c r="L70" i="4"/>
  <c r="L46" i="4"/>
  <c r="K46" i="4"/>
  <c r="L36" i="4"/>
  <c r="L39" i="4" s="1"/>
  <c r="N191" i="4"/>
  <c r="K24" i="4"/>
  <c r="K170" i="4"/>
  <c r="K223" i="4"/>
  <c r="O188" i="4"/>
  <c r="K54" i="4"/>
  <c r="N45" i="4"/>
  <c r="O45" i="4" s="1"/>
  <c r="N238" i="13"/>
  <c r="L191" i="4"/>
  <c r="K199" i="4"/>
  <c r="L199" i="4"/>
  <c r="K15" i="14"/>
  <c r="L54" i="4"/>
  <c r="K106" i="4"/>
  <c r="L106" i="4"/>
  <c r="N272" i="13"/>
  <c r="K186" i="4"/>
  <c r="L237" i="4"/>
  <c r="L150" i="4"/>
  <c r="L27" i="4"/>
  <c r="L28" i="4" s="1"/>
  <c r="N134" i="4"/>
  <c r="L155" i="4"/>
  <c r="L20" i="4"/>
  <c r="L24" i="4" s="1"/>
  <c r="Q155" i="13"/>
  <c r="Q271" i="13"/>
  <c r="Q272" i="13" s="1"/>
  <c r="Q238" i="13"/>
  <c r="Q64" i="13"/>
  <c r="Q66" i="13" s="1"/>
  <c r="L186" i="4"/>
  <c r="L21" i="14" l="1"/>
  <c r="K21" i="14"/>
  <c r="L223" i="4"/>
  <c r="N66" i="4"/>
  <c r="L130" i="4"/>
  <c r="N129" i="4"/>
  <c r="O116" i="4"/>
  <c r="O118" i="4" s="1"/>
  <c r="N118" i="4"/>
  <c r="N42" i="4"/>
  <c r="O42" i="4" s="1"/>
  <c r="O191" i="4"/>
  <c r="L170" i="4"/>
  <c r="N98" i="4"/>
  <c r="N101" i="4" s="1"/>
  <c r="L227" i="4"/>
  <c r="L162" i="4"/>
  <c r="N161" i="4"/>
  <c r="N162" i="4" s="1"/>
  <c r="N43" i="4"/>
  <c r="N235" i="4"/>
  <c r="N80" i="4"/>
  <c r="N83" i="4" s="1"/>
  <c r="L213" i="4"/>
  <c r="N87" i="4"/>
  <c r="N89" i="4" s="1"/>
  <c r="N27" i="4"/>
  <c r="N106" i="4"/>
  <c r="O134" i="4"/>
  <c r="R271" i="13"/>
  <c r="R272" i="13" s="1"/>
  <c r="R237" i="13"/>
  <c r="R238" i="13" s="1"/>
  <c r="R152" i="13"/>
  <c r="R155" i="13" s="1"/>
  <c r="R64" i="13"/>
  <c r="R66" i="13" s="1"/>
  <c r="N185" i="4"/>
  <c r="N186" i="4" s="1"/>
  <c r="N236" i="4"/>
  <c r="N223" i="4"/>
  <c r="N216" i="4"/>
  <c r="N218" i="4" s="1"/>
  <c r="N227" i="4"/>
  <c r="N154" i="4"/>
  <c r="N155" i="4" s="1"/>
  <c r="N199" i="4"/>
  <c r="N136" i="4"/>
  <c r="N137" i="4" s="1"/>
  <c r="N122" i="4"/>
  <c r="N69" i="4"/>
  <c r="N70" i="4" s="1"/>
  <c r="N74" i="4"/>
  <c r="N77" i="4" s="1"/>
  <c r="N36" i="4"/>
  <c r="N39" i="4" s="1"/>
  <c r="N20" i="4"/>
  <c r="I11" i="13"/>
  <c r="N15" i="14" l="1"/>
  <c r="N21" i="14" s="1"/>
  <c r="O66" i="4"/>
  <c r="N28" i="4"/>
  <c r="O27" i="4"/>
  <c r="O28" i="4" s="1"/>
  <c r="N130" i="4"/>
  <c r="O129" i="4"/>
  <c r="O130" i="4" s="1"/>
  <c r="N125" i="4"/>
  <c r="N46" i="4"/>
  <c r="N170" i="4"/>
  <c r="N146" i="4"/>
  <c r="N24" i="4"/>
  <c r="N237" i="4"/>
  <c r="O124" i="4"/>
  <c r="O98" i="4"/>
  <c r="O101" i="4" s="1"/>
  <c r="O235" i="4"/>
  <c r="O43" i="4"/>
  <c r="O46" i="4" s="1"/>
  <c r="O80" i="4"/>
  <c r="O83" i="4" s="1"/>
  <c r="O87" i="4"/>
  <c r="O89" i="4" s="1"/>
  <c r="I129" i="13"/>
  <c r="O106" i="4"/>
  <c r="L9" i="13"/>
  <c r="L11" i="13" s="1"/>
  <c r="O185" i="4"/>
  <c r="O186" i="4" s="1"/>
  <c r="O236" i="4"/>
  <c r="O216" i="4"/>
  <c r="O218" i="4" s="1"/>
  <c r="O223" i="4"/>
  <c r="O226" i="4"/>
  <c r="O227" i="4" s="1"/>
  <c r="O161" i="4"/>
  <c r="O162" i="4" s="1"/>
  <c r="O154" i="4"/>
  <c r="O155" i="4" s="1"/>
  <c r="O199" i="4"/>
  <c r="O136" i="4"/>
  <c r="O137" i="4" s="1"/>
  <c r="O122" i="4"/>
  <c r="O36" i="4"/>
  <c r="O39" i="4" s="1"/>
  <c r="O69" i="4"/>
  <c r="O70" i="4" s="1"/>
  <c r="O74" i="4"/>
  <c r="O77" i="4" s="1"/>
  <c r="O20" i="4"/>
  <c r="O15" i="14" l="1"/>
  <c r="O21" i="14" s="1"/>
  <c r="O125" i="4"/>
  <c r="O146" i="4"/>
  <c r="O170" i="4"/>
  <c r="O24" i="4"/>
  <c r="O237" i="4"/>
  <c r="L129" i="13"/>
  <c r="M9" i="13"/>
  <c r="M11" i="13" s="1"/>
  <c r="M129" i="13" l="1"/>
  <c r="N9" i="13"/>
  <c r="N11" i="13" s="1"/>
  <c r="Q1048211" i="13"/>
  <c r="B64883" i="13"/>
  <c r="B64885" i="13" s="1"/>
  <c r="N129" i="13" l="1"/>
  <c r="Q9" i="13"/>
  <c r="Q11" i="13" s="1"/>
  <c r="R9" i="13" l="1"/>
  <c r="R11" i="13" s="1"/>
  <c r="R178" i="13"/>
  <c r="R183" i="13" s="1"/>
  <c r="B16860" i="4"/>
  <c r="B16862" i="4" s="1"/>
  <c r="H208" i="4"/>
  <c r="G208" i="4"/>
  <c r="G209" i="4" l="1"/>
  <c r="G345" i="4" s="1"/>
  <c r="H209" i="4"/>
  <c r="H345" i="4" s="1"/>
  <c r="J208" i="4"/>
  <c r="J209" i="4" s="1"/>
  <c r="J345" i="4" s="1"/>
  <c r="K208" i="4" l="1"/>
  <c r="L208" i="4" s="1"/>
  <c r="K209" i="4" l="1"/>
  <c r="K345" i="4" s="1"/>
  <c r="L209" i="4"/>
  <c r="M877147" i="14"/>
  <c r="N208" i="4" l="1"/>
  <c r="N209" i="4" s="1"/>
  <c r="O208" i="4" l="1"/>
  <c r="O209" i="4" s="1"/>
  <c r="B53" i="16" l="1"/>
  <c r="B57" i="16" s="1"/>
  <c r="B58" i="16" s="1"/>
  <c r="B61" i="16" s="1"/>
  <c r="B65" i="16" s="1"/>
  <c r="B69" i="16" s="1"/>
  <c r="B73" i="16" s="1"/>
  <c r="B77" i="16" l="1"/>
  <c r="B78" i="16" s="1"/>
  <c r="B82" i="16" s="1"/>
  <c r="B83" i="16" s="1"/>
  <c r="B87" i="16" s="1"/>
  <c r="B91" i="16" l="1"/>
  <c r="B95" i="16" s="1"/>
  <c r="B99" i="16" s="1"/>
  <c r="B103" i="16" s="1"/>
  <c r="B107" i="16" s="1"/>
  <c r="B111" i="16" s="1"/>
  <c r="B112" i="16" s="1"/>
  <c r="B116" i="16" l="1"/>
  <c r="N296" i="4" l="1"/>
  <c r="N306" i="4" s="1"/>
  <c r="O296" i="4" l="1"/>
  <c r="O306" i="4" s="1"/>
  <c r="A24" i="13" l="1"/>
  <c r="A25" i="13" s="1"/>
  <c r="A29" i="13" s="1"/>
  <c r="A30" i="13" l="1"/>
  <c r="A31" i="13" s="1"/>
  <c r="A32" i="13" s="1"/>
  <c r="A33" i="13" s="1"/>
  <c r="A34" i="13" s="1"/>
  <c r="A38" i="13" s="1"/>
  <c r="A39" i="13" l="1"/>
  <c r="A40" i="13" s="1"/>
  <c r="A41" i="13" s="1"/>
  <c r="A42" i="13" s="1"/>
  <c r="A43" i="13" s="1"/>
  <c r="A44" i="13" s="1"/>
  <c r="A48" i="13" s="1"/>
  <c r="A51" i="13" l="1"/>
  <c r="A52" i="13" s="1"/>
  <c r="A56" i="13" s="1"/>
  <c r="L78" i="16" l="1"/>
  <c r="L79" i="16" s="1"/>
  <c r="J79" i="16"/>
  <c r="A20" i="4" l="1"/>
  <c r="A21" i="4" l="1"/>
  <c r="A22" i="4" s="1"/>
  <c r="A23" i="4" s="1"/>
  <c r="J84" i="16"/>
  <c r="J119" i="16" s="1"/>
  <c r="K83" i="16"/>
  <c r="K84" i="16" s="1"/>
  <c r="K119" i="16" s="1"/>
  <c r="A27" i="4" l="1"/>
  <c r="A31" i="4" s="1"/>
  <c r="A35" i="4" s="1"/>
  <c r="L83" i="16"/>
  <c r="L84" i="16" s="1"/>
  <c r="A36" i="4" l="1"/>
  <c r="A37" i="4" s="1"/>
  <c r="A38" i="4" s="1"/>
  <c r="A41" i="4" s="1"/>
  <c r="A42" i="4" l="1"/>
  <c r="A43" i="4" s="1"/>
  <c r="A44" i="4" s="1"/>
  <c r="A45" i="4" s="1"/>
  <c r="A49" i="4" s="1"/>
  <c r="A53" i="4" s="1"/>
  <c r="A57" i="4" s="1"/>
  <c r="A58" i="4" s="1"/>
  <c r="A59" i="4" l="1"/>
  <c r="A63" i="4" l="1"/>
  <c r="A64" i="4" s="1"/>
  <c r="A65" i="4" l="1"/>
  <c r="A68" i="4" s="1"/>
  <c r="A69" i="4" s="1"/>
  <c r="A73" i="4" s="1"/>
  <c r="A74" i="4" s="1"/>
  <c r="A75" i="4" s="1"/>
  <c r="A76" i="4" l="1"/>
  <c r="A80" i="4" s="1"/>
  <c r="A81" i="4" s="1"/>
  <c r="A82" i="4" s="1"/>
  <c r="A86" i="4" s="1"/>
  <c r="A87" i="4" s="1"/>
  <c r="A88" i="4" s="1"/>
  <c r="A92" i="4" l="1"/>
  <c r="A96" i="4" s="1"/>
  <c r="A97" i="4" l="1"/>
  <c r="A98" i="4" s="1"/>
  <c r="A99" i="4" s="1"/>
  <c r="A100" i="4" l="1"/>
  <c r="A104" i="4" s="1"/>
  <c r="A105" i="4" s="1"/>
  <c r="A109" i="4" s="1"/>
  <c r="A110" i="4" s="1"/>
  <c r="A111" i="4" s="1"/>
  <c r="A112" i="4" l="1"/>
  <c r="A115" i="4" l="1"/>
  <c r="A116" i="4" s="1"/>
  <c r="A117" i="4" s="1"/>
  <c r="A121" i="4" s="1"/>
  <c r="A122" i="4" s="1"/>
  <c r="A123" i="4" s="1"/>
  <c r="A124" i="4" s="1"/>
  <c r="A128" i="4" l="1"/>
  <c r="A129" i="4" s="1"/>
  <c r="A133" i="4" s="1"/>
  <c r="A134" i="4" s="1"/>
  <c r="A135" i="4" s="1"/>
  <c r="A136" i="4" s="1"/>
  <c r="A140" i="4" s="1"/>
  <c r="A141" i="4" s="1"/>
  <c r="A145" i="4" l="1"/>
  <c r="A149" i="4" s="1"/>
  <c r="A154" i="4" s="1"/>
  <c r="A158" i="4" l="1"/>
  <c r="A161" i="4" s="1"/>
  <c r="A165" i="4" s="1"/>
  <c r="A166" i="4" s="1"/>
  <c r="A167" i="4" s="1"/>
  <c r="A168" i="4" s="1"/>
  <c r="A169" i="4" s="1"/>
  <c r="A173" i="4" l="1"/>
  <c r="A174" i="4" s="1"/>
  <c r="A175" i="4" s="1"/>
  <c r="A176" i="4" s="1"/>
  <c r="A180" i="4" s="1"/>
  <c r="A184" i="4" s="1"/>
  <c r="A185" i="4" s="1"/>
  <c r="A188" i="4" s="1"/>
  <c r="A189" i="4" s="1"/>
  <c r="A190" i="4" s="1"/>
  <c r="A194" i="4" s="1"/>
  <c r="A198" i="4" s="1"/>
  <c r="A202" i="4" s="1"/>
  <c r="A203" i="4" s="1"/>
  <c r="A212" i="4"/>
  <c r="A216" i="4" s="1"/>
  <c r="A217" i="4" s="1"/>
  <c r="N109" i="4"/>
  <c r="A222" i="4" l="1"/>
  <c r="A226" i="4" s="1"/>
  <c r="A230" i="4" s="1"/>
  <c r="A231" i="4" s="1"/>
  <c r="A235" i="4" s="1"/>
  <c r="A236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N110" i="4"/>
  <c r="O110" i="4" s="1"/>
  <c r="L113" i="4"/>
  <c r="L345" i="4" s="1"/>
  <c r="O109" i="4"/>
  <c r="A263" i="4" l="1"/>
  <c r="A264" i="4" s="1"/>
  <c r="A265" i="4" s="1"/>
  <c r="A266" i="4" s="1"/>
  <c r="A267" i="4" s="1"/>
  <c r="A268" i="4" s="1"/>
  <c r="A269" i="4" s="1"/>
  <c r="N113" i="4"/>
  <c r="N345" i="4" s="1"/>
  <c r="O113" i="4"/>
  <c r="O345" i="4" s="1"/>
  <c r="L113" i="16" l="1"/>
  <c r="L119" i="16" s="1"/>
  <c r="A273" i="4"/>
  <c r="A309" i="4" l="1"/>
  <c r="A313" i="4" s="1"/>
  <c r="A314" i="4" s="1"/>
  <c r="A318" i="4" s="1"/>
  <c r="A322" i="4" s="1"/>
  <c r="N93" i="13"/>
  <c r="A323" i="4" l="1"/>
  <c r="A324" i="4" s="1"/>
  <c r="A329" i="4" s="1"/>
  <c r="Q92" i="13"/>
  <c r="Q93" i="13" s="1"/>
  <c r="A57" i="13"/>
  <c r="A61" i="13" s="1"/>
  <c r="A64" i="13" s="1"/>
  <c r="A65" i="13" s="1"/>
  <c r="A69" i="13" s="1"/>
  <c r="A73" i="13" s="1"/>
  <c r="A77" i="13" s="1"/>
  <c r="A78" i="13" s="1"/>
  <c r="A79" i="13" s="1"/>
  <c r="A80" i="13" s="1"/>
  <c r="A84" i="13" s="1"/>
  <c r="A85" i="13" s="1"/>
  <c r="A86" i="13" s="1"/>
  <c r="A87" i="13" l="1"/>
  <c r="A91" i="13" s="1"/>
  <c r="A92" i="13" s="1"/>
  <c r="A95" i="13" s="1"/>
  <c r="A96" i="13" s="1"/>
  <c r="A100" i="13" s="1"/>
  <c r="A104" i="13" s="1"/>
  <c r="A105" i="13" s="1"/>
  <c r="A106" i="13" s="1"/>
  <c r="A107" i="13" s="1"/>
  <c r="A110" i="13" s="1"/>
  <c r="A111" i="13" s="1"/>
  <c r="A114" i="13" s="1"/>
  <c r="A118" i="13" s="1"/>
  <c r="A330" i="4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R92" i="13"/>
  <c r="R93" i="13" s="1"/>
  <c r="A119" i="13" l="1"/>
  <c r="A122" i="13" s="1"/>
  <c r="A126" i="13" s="1"/>
  <c r="A127" i="13" s="1"/>
  <c r="A128" i="13" l="1"/>
  <c r="A133" i="13" s="1"/>
  <c r="A137" i="13" s="1"/>
  <c r="A138" i="13" s="1"/>
  <c r="A139" i="13" l="1"/>
  <c r="A143" i="13" s="1"/>
  <c r="A144" i="13" s="1"/>
  <c r="A147" i="13" s="1"/>
  <c r="A148" i="13" s="1"/>
  <c r="A152" i="13" s="1"/>
  <c r="A153" i="13" s="1"/>
  <c r="A154" i="13" s="1"/>
  <c r="A158" i="13" s="1"/>
  <c r="A159" i="13" s="1"/>
  <c r="A163" i="13" s="1"/>
  <c r="A233" i="13"/>
  <c r="A237" i="13" s="1"/>
  <c r="A168" i="13" l="1"/>
  <c r="A164" i="13"/>
  <c r="A169" i="13" s="1"/>
  <c r="A173" i="13" s="1"/>
  <c r="A177" i="13" s="1"/>
  <c r="A178" i="13" s="1"/>
  <c r="A179" i="13" s="1"/>
  <c r="A180" i="13" s="1"/>
  <c r="A181" i="13" s="1"/>
  <c r="A182" i="13" s="1"/>
  <c r="A241" i="13"/>
  <c r="A244" i="13" s="1"/>
  <c r="A186" i="13" l="1"/>
  <c r="A190" i="13" s="1"/>
  <c r="A191" i="13" s="1"/>
  <c r="A192" i="13" s="1"/>
  <c r="A245" i="13"/>
  <c r="A248" i="13" s="1"/>
  <c r="A252" i="13" l="1"/>
  <c r="A253" i="13" s="1"/>
  <c r="A257" i="13" s="1"/>
  <c r="A261" i="13" s="1"/>
  <c r="A265" i="13" s="1"/>
  <c r="A266" i="13" s="1"/>
  <c r="A267" i="13" s="1"/>
  <c r="A271" i="13" s="1"/>
  <c r="A193" i="13"/>
  <c r="A194" i="13" s="1"/>
  <c r="A198" i="13" s="1"/>
  <c r="A199" i="13" s="1"/>
  <c r="A203" i="13" s="1"/>
  <c r="A207" i="13" s="1"/>
  <c r="N149" i="13"/>
  <c r="A208" i="13" l="1"/>
  <c r="A209" i="13" s="1"/>
  <c r="A210" i="13" s="1"/>
  <c r="A211" i="13" s="1"/>
  <c r="A212" i="13" s="1"/>
  <c r="A216" i="13" s="1"/>
  <c r="A217" i="13" s="1"/>
  <c r="A218" i="13" s="1"/>
  <c r="A222" i="13" s="1"/>
  <c r="A223" i="13" s="1"/>
  <c r="Q149" i="13" l="1"/>
  <c r="R149" i="13"/>
  <c r="R274" i="13" s="1"/>
  <c r="I274" i="13"/>
  <c r="P274" i="13"/>
  <c r="M274" i="13"/>
  <c r="N274" i="13"/>
  <c r="J274" i="13"/>
  <c r="Q274" i="13"/>
  <c r="K274" i="13"/>
  <c r="L274" i="13"/>
  <c r="H274" i="13"/>
</calcChain>
</file>

<file path=xl/sharedStrings.xml><?xml version="1.0" encoding="utf-8"?>
<sst xmlns="http://schemas.openxmlformats.org/spreadsheetml/2006/main" count="2048" uniqueCount="664">
  <si>
    <t>NO.</t>
  </si>
  <si>
    <t>AFP (2.87)</t>
  </si>
  <si>
    <t>SFS ( 3.04)</t>
  </si>
  <si>
    <t xml:space="preserve">Total de Descuentos </t>
  </si>
  <si>
    <t xml:space="preserve">ALTAGRACIA JIMENEZ DE CASIMIRO </t>
  </si>
  <si>
    <t xml:space="preserve">ARELIS JOSELIN FIGUEREO HERRERA </t>
  </si>
  <si>
    <t xml:space="preserve">DISEÑADOR GRAFICO </t>
  </si>
  <si>
    <t xml:space="preserve">SORIBEL MEDINA LAGRANGE </t>
  </si>
  <si>
    <t>KARLA MARIEL UREÑA GIL</t>
  </si>
  <si>
    <t>GELLMNS KEEMSIOLY GIL BISONO</t>
  </si>
  <si>
    <t xml:space="preserve">LEONARDO ANTONIO NUÑEZ FUNG </t>
  </si>
  <si>
    <t>SOPORTE TECNICO INFORMATICO</t>
  </si>
  <si>
    <t xml:space="preserve">DEPARTAMENTO ADMINISTRATIVO Y FINANCIERO </t>
  </si>
  <si>
    <t xml:space="preserve">AUXILIAR ADMINISTRATIVO </t>
  </si>
  <si>
    <t xml:space="preserve">MEIBY ESPERANZA GUILLEN BELTRE </t>
  </si>
  <si>
    <t xml:space="preserve">CRECENCIA BELLIARD MELENCIANO </t>
  </si>
  <si>
    <t>AUXILIAR ADMINISTRATIVO I</t>
  </si>
  <si>
    <t xml:space="preserve">ANTONIA ROA TAPIA </t>
  </si>
  <si>
    <t xml:space="preserve">TERESA HIDALGO DE PEQUERO </t>
  </si>
  <si>
    <t xml:space="preserve">DOMINGO ANTONIO RAMOS </t>
  </si>
  <si>
    <t>LIGIA SOBANI LUNA RAMIREZ</t>
  </si>
  <si>
    <t xml:space="preserve">ROSAGNA ALTAGRACIA ADAMES CUELLO </t>
  </si>
  <si>
    <t>CONSERJE</t>
  </si>
  <si>
    <t xml:space="preserve">ISIDRO FRUCTUOSO FROMETA </t>
  </si>
  <si>
    <t xml:space="preserve">BELKIS LUISA FIGUEROA BATISTA </t>
  </si>
  <si>
    <t xml:space="preserve">CHOFER II </t>
  </si>
  <si>
    <t xml:space="preserve">FRANCISCO ALBERTO BLANCO RAMOS </t>
  </si>
  <si>
    <t xml:space="preserve">YSAIAS MORILLO FERREIRA </t>
  </si>
  <si>
    <t xml:space="preserve">DELKIS ROSA TORIBIO </t>
  </si>
  <si>
    <t xml:space="preserve">NORMA MIGUELINA ESTRELLA PAULINO </t>
  </si>
  <si>
    <t xml:space="preserve">ROBERTO SUERO </t>
  </si>
  <si>
    <t>ROSA YANIRIS MATEO MOJICA</t>
  </si>
  <si>
    <t xml:space="preserve">NIURKA ALTAGRACIA TEJADA </t>
  </si>
  <si>
    <t xml:space="preserve">YDALISE MARMOLEJOS POLANCO </t>
  </si>
  <si>
    <t xml:space="preserve">JENNIFER DEL PILAR OVALLE SANTANA </t>
  </si>
  <si>
    <t xml:space="preserve">ANALISTA SECTORIAL DE PRESUPUESTO </t>
  </si>
  <si>
    <t xml:space="preserve">GILMA ALTAGRACIA OGANDO PAULINO </t>
  </si>
  <si>
    <t xml:space="preserve">ELIZABETH SOTO CORTORREAL </t>
  </si>
  <si>
    <t xml:space="preserve">ELISA MERCEDES DURAN JIMENEZ </t>
  </si>
  <si>
    <t xml:space="preserve">MERLIN REYES </t>
  </si>
  <si>
    <t xml:space="preserve">JHANNET TAVERAS BICHARA </t>
  </si>
  <si>
    <t xml:space="preserve">VANESSA YANET ALMONTE SANTOS </t>
  </si>
  <si>
    <t xml:space="preserve">ANDREA DOLORES CANDELARIO COLLADO </t>
  </si>
  <si>
    <t xml:space="preserve">ANGELICA ALMENGO ALMENGOT </t>
  </si>
  <si>
    <t xml:space="preserve">JOSE ISMAEL PEÑA PERALTA </t>
  </si>
  <si>
    <t xml:space="preserve">PATRICIA ACEVEDO ROSARIO </t>
  </si>
  <si>
    <t xml:space="preserve">LIDIA ALTAGRACIA CASTILLO ROJAS </t>
  </si>
  <si>
    <t xml:space="preserve">DANIEL ALBERTO BATISTA </t>
  </si>
  <si>
    <t xml:space="preserve">SAILEN QUIROZ </t>
  </si>
  <si>
    <t xml:space="preserve">ANA LUCIA BURGOS </t>
  </si>
  <si>
    <t>SECRETARIA</t>
  </si>
  <si>
    <t>MILDRED OVALLE RIVERA</t>
  </si>
  <si>
    <t xml:space="preserve">WINDER REYES ARIAS </t>
  </si>
  <si>
    <t xml:space="preserve">MILAGROS PANIAGUA </t>
  </si>
  <si>
    <t xml:space="preserve">DELIO OMAR CESPEDES MEDINA </t>
  </si>
  <si>
    <t xml:space="preserve">JAQUELINE BELLO PUJOLS </t>
  </si>
  <si>
    <t>IRANNA LARITZA BRITO TAVAREZ</t>
  </si>
  <si>
    <t xml:space="preserve">ALBERTO VILLANUEVA POLANCO </t>
  </si>
  <si>
    <t>SHEILA CAMILA TAVAREZ ESCAÑO</t>
  </si>
  <si>
    <t xml:space="preserve">LAURA VIRGINIA DE LA CRUZ DUVERGE </t>
  </si>
  <si>
    <t xml:space="preserve">PASCUAL ALBERTO DE LOS SANTOS </t>
  </si>
  <si>
    <t xml:space="preserve">RAYNEL BRESNE SORIANO </t>
  </si>
  <si>
    <t>DESARROLLADOR DE SISTEMAS</t>
  </si>
  <si>
    <t xml:space="preserve">CARLOS PICHARDO </t>
  </si>
  <si>
    <t xml:space="preserve">DEPARTAMENTO DE COMUNICACIONES </t>
  </si>
  <si>
    <t xml:space="preserve">FRANCIS TOMAS PAULA LUNA </t>
  </si>
  <si>
    <t xml:space="preserve">RECEPCIONISTA </t>
  </si>
  <si>
    <t>DAMARIS SOLINDA MEDINA RAMIREZ</t>
  </si>
  <si>
    <t xml:space="preserve">DEPARTAMENTO DE  GESTIÓN FINANCIERA DE FORMULACIÓN Y EJECUCIÓN </t>
  </si>
  <si>
    <t xml:space="preserve">DIRECCIÓN DE CALIDAD Y EVALUACIÓN DE LA GESTIÓN PRESUPUESTARIA </t>
  </si>
  <si>
    <t>DEPARTAMENTO EVALUACIÓN DEL DESEMPEÑO PRESUPUESTARIO</t>
  </si>
  <si>
    <t>ANALISTA DE DESARROLLO INSTITUCIONAL II</t>
  </si>
  <si>
    <t xml:space="preserve">SECRETARIA </t>
  </si>
  <si>
    <t xml:space="preserve">ADMINISTRADOR DE BASE DE DATOS </t>
  </si>
  <si>
    <t xml:space="preserve">ADMINISTRADOR DE SISTEMAS </t>
  </si>
  <si>
    <t xml:space="preserve">CAMARERA </t>
  </si>
  <si>
    <t xml:space="preserve">MENSAJERO INTERNO </t>
  </si>
  <si>
    <t xml:space="preserve">ANALISTA DE SISTEMAS </t>
  </si>
  <si>
    <t xml:space="preserve">EDWIN ARMANDO COSS TERRERO </t>
  </si>
  <si>
    <t xml:space="preserve">JOHANNA FRANCHESCA SANTOS SANTOS </t>
  </si>
  <si>
    <t xml:space="preserve">JULISSA CASTILLO DE PERALTA </t>
  </si>
  <si>
    <t>COORDINADORA DE DESPACHO</t>
  </si>
  <si>
    <t xml:space="preserve">CONTADOR </t>
  </si>
  <si>
    <t xml:space="preserve">DIRECTORIA DE PRESUPUESTOS DE SERVICIOS GENERALES </t>
  </si>
  <si>
    <t>ENCARGADA</t>
  </si>
  <si>
    <t xml:space="preserve">ANALISTA </t>
  </si>
  <si>
    <t xml:space="preserve">GLENNY CONCEPCIÓN CRUZ </t>
  </si>
  <si>
    <t xml:space="preserve">ANALISTA DE NÓMINA </t>
  </si>
  <si>
    <t>ANALISTA DE PLANIFICACIÓN I</t>
  </si>
  <si>
    <t xml:space="preserve">Tipo Empleado </t>
  </si>
  <si>
    <t>Impuesto Sobre Renta ISR</t>
  </si>
  <si>
    <t>Sueldo Neto</t>
  </si>
  <si>
    <t xml:space="preserve">Otros Descuentos </t>
  </si>
  <si>
    <t>F. Inicio</t>
  </si>
  <si>
    <t>F. Final</t>
  </si>
  <si>
    <t>Seguridad Social</t>
  </si>
  <si>
    <t xml:space="preserve">FIJO </t>
  </si>
  <si>
    <t xml:space="preserve">CARRERA ADMINISTRATIVA </t>
  </si>
  <si>
    <t>Ingreso Bruto</t>
  </si>
  <si>
    <t xml:space="preserve">SUBTOTAL </t>
  </si>
  <si>
    <t xml:space="preserve">Lugar de Trabajo </t>
  </si>
  <si>
    <t xml:space="preserve">Funciones </t>
  </si>
  <si>
    <t>OMAR ENRIQUE POLANCO MOLINA</t>
  </si>
  <si>
    <t>ENCARGADO DEPARTAMENTO JURÍDICO</t>
  </si>
  <si>
    <t>EDDY ROBERT JONES LUCIANO</t>
  </si>
  <si>
    <t>TÉCNICO ADMINISTRATIVO</t>
  </si>
  <si>
    <t>RAFAEL ONERIS NOVA</t>
  </si>
  <si>
    <t>NELSON ANTONIO TODD KERY</t>
  </si>
  <si>
    <t>SUPERVISOR DE TRANSPORTACIÓN</t>
  </si>
  <si>
    <t>CHOFER II</t>
  </si>
  <si>
    <t>YOHNNY MANUEL CIPRIAN CASTILLO</t>
  </si>
  <si>
    <t xml:space="preserve">ESTHER YINET LACHAPEL CRUZ </t>
  </si>
  <si>
    <t>JENNY DEL CARMEN BATISTA FLORES</t>
  </si>
  <si>
    <t xml:space="preserve">BIANCA CAROLINA ALCANTARA YNOA </t>
  </si>
  <si>
    <t xml:space="preserve">CHOFER </t>
  </si>
  <si>
    <t>ANALISTA DE GESTIÓN FINANCIERA Y EJECUCIÓN PRESUPUESTARIA I</t>
  </si>
  <si>
    <t xml:space="preserve">AYUDANTE MANTENIMIENTO </t>
  </si>
  <si>
    <t>ALICIA FELIZ OGANDO</t>
  </si>
  <si>
    <t>ANALISTA SECTORIAL DE PRESUPUESTO</t>
  </si>
  <si>
    <t>WENDY PATRICIA MONTERO FORTUNA </t>
  </si>
  <si>
    <t>VLADIMIR RICHARD TEJEDA VILLAVICENCIO</t>
  </si>
  <si>
    <t>FAUSTO MIGUEL ESPAILLAT TAVAREZ</t>
  </si>
  <si>
    <t>DIRECCIÓN DE SERVICIOS PRESUPUESTARIOS</t>
  </si>
  <si>
    <t>DIVISIÓN DE MINISTERIOS DE EDUCACIÓN Y EDUCACIÓN SUPERIOR, CIENCIA Y TECNOLOGÍA</t>
  </si>
  <si>
    <t>DIVISIÓN DE MINISTERIOS DE SALUD PÚBLICA Y ASISTENCIA SOCIAL Y TRABAJO</t>
  </si>
  <si>
    <t>DIVISIÓN DE MINISTERIOS DE LA MUJER, JUVENTUD, CULTURA, DEPORTES Y RECREACIÓN</t>
  </si>
  <si>
    <t>DIVISIÓN DE MINISTERIOS DE MEDIO AMBIENTE, AGRICULTURA Y ENERGÍA Y MINAS</t>
  </si>
  <si>
    <t>DIVISIÓN DE MINISTERIOS DE OBRAS PÚBLICAS Y VIVIENDA</t>
  </si>
  <si>
    <t>DEPARTAMENTO DE SERVICIOS GENERALES</t>
  </si>
  <si>
    <t>DIVISIÓN DE PRESIDENCIA DE LA REPÚBLICA Y MINISTERIO DE RELACIONES EXTERIORES</t>
  </si>
  <si>
    <t>DIVISIÓN DE MINISTERIOS DE HACIENDA, ADMINISTRACIÓN PÚBLICA, ECONOMÍA, PLANIFICACIÓN Y DESARROLLO</t>
  </si>
  <si>
    <t xml:space="preserve">WENDY YOCASTA MERCEDES PEGUERO </t>
  </si>
  <si>
    <t>DIVISIÓN DE MINISTERIO DE DEFENSA</t>
  </si>
  <si>
    <t>DIVISIÓN DE PROCURADURÍA GENERAL DE LA REPÚBLICA Y MINISTERIO DE INTERIOR Y POLICÍA</t>
  </si>
  <si>
    <t>DEPARTAMENTO DE SERVICIOS A LAS EMPRESAS PÚBLICAS</t>
  </si>
  <si>
    <t>DIVISIÓN DE EMPRESAS PÚBLICAS FINANCIERAS</t>
  </si>
  <si>
    <t>DIVISIÓN DE EMPRESAS PÚBLICAS NO FINANCIERAS</t>
  </si>
  <si>
    <t xml:space="preserve">DEPARTAMENTO DE  DE SERVICIOS A LOS GOBIERNOS LOCALES </t>
  </si>
  <si>
    <t>DIVISIÓN DE REGIÓN CIBAO NOROESTE</t>
  </si>
  <si>
    <t>DIVISIÓN DE REGIÓN CIBAO NORDESTE</t>
  </si>
  <si>
    <t xml:space="preserve">DIVISIÓN DE REGIÓN SUR CENTRAL </t>
  </si>
  <si>
    <t>DIVISIÓN DE REGIÓN ESTE</t>
  </si>
  <si>
    <t xml:space="preserve">DIVISIÓN DE LA REGION SUROESTE </t>
  </si>
  <si>
    <t>DEPARTAMENTO DE SERVICIOS A PODERES Y ÓRGANOS CONSTITUCIONALES</t>
  </si>
  <si>
    <t>DIVISIÓN DE JUNTA CENTRAL ELECTORAL, CÁMARA DE CUENTAS, TRIBUNAL CONSTITUCIONAL, DEFENSOR DEL PUEBLO Y TRIBUNAL SUPERIOR ELECTORAL</t>
  </si>
  <si>
    <t>DIVISIÓN DE COMUNICACIÓN INSTITUCIONAL</t>
  </si>
  <si>
    <t>DIVISIÓN DE PRODUCCIÓN GRÁFICA Y DIGITAL</t>
  </si>
  <si>
    <t>SECCIÓN DE DOCUMENTACIÓN</t>
  </si>
  <si>
    <t xml:space="preserve">DEPARTAMENTO DE SERVICIOS SOCIALES </t>
  </si>
  <si>
    <t>ENCARGADA DIVISIÓN DE MINISTERIOS DE SALUD PÚBLICA Y ASISTENCIA SOCIAL Y TRABAJO</t>
  </si>
  <si>
    <t>ENCARGADA DEPARTAMENTO DE SERVICIOS ECONÓMICOS</t>
  </si>
  <si>
    <t xml:space="preserve">JULIANA GUILLERMINA MORERA VILLALONA </t>
  </si>
  <si>
    <t xml:space="preserve">ODILYS YANIRIS HIDALGO SANTANA </t>
  </si>
  <si>
    <t>EGLIS ESTHER CEBALLOS MARTICH</t>
  </si>
  <si>
    <t>DIVISIÓN  DE MINISTERIOS DE TURISMO E INDUSTRIA, COMERCIO Y MIPYMES</t>
  </si>
  <si>
    <t>ENCARGADA DEPARTAMENTO DE SERVICIOS GENERALES</t>
  </si>
  <si>
    <t>ENCARGADA DIVISIÓN DE MINISTERIO DE DEFENSA</t>
  </si>
  <si>
    <t>ENCARGADA DEPARTAMENTO DE SERVICIOS A LAS EMPRESAS PÚBLICAS</t>
  </si>
  <si>
    <t xml:space="preserve">FRANCIS ERNESTO JUSTO HORTON </t>
  </si>
  <si>
    <t xml:space="preserve">ROBERTO LEANDRO LAMARCHE LEONARDO </t>
  </si>
  <si>
    <t xml:space="preserve">ENCARGADA </t>
  </si>
  <si>
    <t xml:space="preserve">LUZ MINERVA RAMIREZ MONTAÑO </t>
  </si>
  <si>
    <t xml:space="preserve">DIVISIÓN DE PRESIDENCIA DE LA REPÚBLICA Y MINISTERIO DE RELACIONES EXTERIORES </t>
  </si>
  <si>
    <t xml:space="preserve">WASCAR RHADAMES VENTURA GUEVARA </t>
  </si>
  <si>
    <t>REALIZADOR AUDIOVISUAL</t>
  </si>
  <si>
    <t>FIJO</t>
  </si>
  <si>
    <t>LUIS MIGUEL HERRERA LAUREANO</t>
  </si>
  <si>
    <t xml:space="preserve">MENSAJERO EXTERNO </t>
  </si>
  <si>
    <t>ENCARGADA DEPARTAMENTO DE SERVICIOS A PODERES Y ÓRGANOS CONSTITUCIONALES</t>
  </si>
  <si>
    <t>ENCARGADO DIVISIÓN DE REGIÓN ESTE</t>
  </si>
  <si>
    <t>LAURA ROSA MORILLO SOCIAS</t>
  </si>
  <si>
    <t>OFICINA DE LIBRE ACCESO A LA INFORMACIÓN</t>
  </si>
  <si>
    <t>DIVISIÓN DE BIENESTAR LABORAL</t>
  </si>
  <si>
    <t>SECCIÓN DE PRESUPUESTO Y TESORERÍA</t>
  </si>
  <si>
    <t>SECCIÓN DE ACTIVOS FIJOS Y CONTABILIDAD</t>
  </si>
  <si>
    <t>FERNANDO ALCÁNTARA CASTILLO</t>
  </si>
  <si>
    <t>SANTA MARLENIS TIBURCIO</t>
  </si>
  <si>
    <t>NOHELIA ANAIS PÉREZ BATISTA</t>
  </si>
  <si>
    <t xml:space="preserve">NOMBRAMIENTO TEMPORAL </t>
  </si>
  <si>
    <t>BÉRGICA CORNELIO MENDOZA</t>
  </si>
  <si>
    <t>SHAMIR HASSAN BILLILO</t>
  </si>
  <si>
    <t>DIVISIÓN DE ORGANIZACIÓN DEL TRABAJO Y COMPENSACIÓN</t>
  </si>
  <si>
    <t>PAOLA IDALIA CHALJUB THEN</t>
  </si>
  <si>
    <t>MANEJADOR DE WEB Y REDES SOCIALES</t>
  </si>
  <si>
    <t>PABLO JOSÉ PÁEZ SOLANO</t>
  </si>
  <si>
    <t>DIVISIÓN DE SEGURIDAD Y MONITOREO TIC</t>
  </si>
  <si>
    <t>VICTOR ENMANUEL VARGAS ROSARIO</t>
  </si>
  <si>
    <t>ANALISTA COMPRAS Y CONTRATACIONES</t>
  </si>
  <si>
    <t>SECCIÓN DE CONTABILIDAD Y ACTIVOS FIJOS</t>
  </si>
  <si>
    <t xml:space="preserve">ANALISTA DE SERVICIOS Y BENEFICIOS </t>
  </si>
  <si>
    <t xml:space="preserve">ESTATUTO SIMPLIFICADO </t>
  </si>
  <si>
    <t>DIVISIÓN DE ADMINISTRACIÓN DE SERVICIOS TIC</t>
  </si>
  <si>
    <t>DOMINGO DE LOS SANTOS REYES</t>
  </si>
  <si>
    <t xml:space="preserve">SUBDIRECTOR GENERAL </t>
  </si>
  <si>
    <t>MARGARET YOVEIRI GARCÍA TAVERAZ</t>
  </si>
  <si>
    <t xml:space="preserve">SONIA ORTIZ REYES </t>
  </si>
  <si>
    <t xml:space="preserve">MARIANELA MONTILLA </t>
  </si>
  <si>
    <t>IVAN JOSÉ RAMIREZ VARGAS</t>
  </si>
  <si>
    <t>DIRECCIÓN GENERAL</t>
  </si>
  <si>
    <t>ISABEL MARTÍNEZ ALONZO</t>
  </si>
  <si>
    <t xml:space="preserve">MARIEL ALTAGRACIA MUÑOZ ÁLVAREZ </t>
  </si>
  <si>
    <t>ROSA IRIS PICHARDO PÉREZ</t>
  </si>
  <si>
    <t xml:space="preserve">TERESA MILAGROS DE LEÓN PÉREZ </t>
  </si>
  <si>
    <t xml:space="preserve">TAMAR ESTHER PEÑA RODRÍGUEZ </t>
  </si>
  <si>
    <t xml:space="preserve">DIRECCIÓN DE PRESUPUESTOS DE SERVICIOS ECONÓMICOS </t>
  </si>
  <si>
    <t xml:space="preserve">ANA MARÍA BIERD DE JESÚS </t>
  </si>
  <si>
    <t xml:space="preserve">PATRICIA ALTAGRACIA FERNÁNDEZ DEL ROSARIO  </t>
  </si>
  <si>
    <t xml:space="preserve">MARCIA SUAREZ LÓPEZ </t>
  </si>
  <si>
    <t>ENCARGADA DIVISIÓN DE MINISTERIOS DE TURISMO E INDUSTRIA, COMERCIO Y MIPYMES</t>
  </si>
  <si>
    <t xml:space="preserve">YADEL CORNELIA ALICIA HERRERA DE JESÚS </t>
  </si>
  <si>
    <t>BELKIS ADALGISA MAÑÓN HIDALGO</t>
  </si>
  <si>
    <t xml:space="preserve">MARÍA VICTORIA ORTIZ SÁNCHEZ </t>
  </si>
  <si>
    <t>PATRICIA CAROLINA PERDOMO GARCÍA</t>
  </si>
  <si>
    <t xml:space="preserve">JOSEFINA GONZÁLEZ SILFA </t>
  </si>
  <si>
    <t xml:space="preserve">SANTA ROSA BAEZ RODRÍGUEZ </t>
  </si>
  <si>
    <t xml:space="preserve">CESAR FÉLIX BUENO RODRÍGUEZ </t>
  </si>
  <si>
    <t xml:space="preserve">PATRIA SENCIÓN SANTANA </t>
  </si>
  <si>
    <t>MARÍA SOLEDAD MIRANDA AHUMADA</t>
  </si>
  <si>
    <t>ANA MIGUELINA ALTAGRACIA TERRERO DE LEÓN</t>
  </si>
  <si>
    <t xml:space="preserve">YURIDYS ALTAGRACIA RODRÍGUEZ DILONE </t>
  </si>
  <si>
    <t>ENCARGADO DIVISIÓN DE REGIÓN CIBAO NORDESTE</t>
  </si>
  <si>
    <t xml:space="preserve">NIVIS LETICIA LEÓN VILLEGAS </t>
  </si>
  <si>
    <t>LUIS LEONARDO AMIAMA GÓMEZ</t>
  </si>
  <si>
    <t xml:space="preserve">ALEJANDRINA RODRÍGUEZ DUVAL </t>
  </si>
  <si>
    <t xml:space="preserve">LAURA CID SÁNCHEZ </t>
  </si>
  <si>
    <t>ARNOLD FRANCISCO ALMÁNZAR JOSEPH</t>
  </si>
  <si>
    <t xml:space="preserve">MANUEL DE JESÚS BURGOS </t>
  </si>
  <si>
    <t xml:space="preserve">ENCARGADO DIVISIÓN DE LA REGIÓN SUROESTE  </t>
  </si>
  <si>
    <t xml:space="preserve">ERELY MARTÍNEZ PÉREZ </t>
  </si>
  <si>
    <t xml:space="preserve">SAGRARIO ELENA DOMÍNGUEZ DOMÍNGUEZ </t>
  </si>
  <si>
    <t>ÁMBAR CHANEL PERALTA GEORGE</t>
  </si>
  <si>
    <t xml:space="preserve">FÉLIX ANTONIO FABIÁN MERCEDES </t>
  </si>
  <si>
    <t>KATHERINE MERCEDES PEGUERO FERMÍN</t>
  </si>
  <si>
    <t>DANIA ALCANTARA GUTIÉRREZ</t>
  </si>
  <si>
    <t xml:space="preserve">BENNY GALÁN RODRÍGUEZ </t>
  </si>
  <si>
    <t xml:space="preserve">ANALISTA DE NORMAS Y METODOLOGÍAS PRESUPUESTARIAS </t>
  </si>
  <si>
    <t>SAMANDA MARIELY VELÁSQUEZ DÍAZ</t>
  </si>
  <si>
    <t>ANALISTA DE EVALUACIÓN DEL DESEMPEÑO DE GESTIÓN PRESUPUESTARIA I</t>
  </si>
  <si>
    <t>BETHANIA DEL CARMEN FERNÁNDEZ PICHARDO</t>
  </si>
  <si>
    <t xml:space="preserve">TÉCNICO DE ACCESO A LA INFORMACIÓN </t>
  </si>
  <si>
    <t>DEPARTAMENTO NORMAS Y METODOLOGÍAS</t>
  </si>
  <si>
    <t>DIRECCIÓN ESTUDIOS ECONÓMICOS Y SEGUIMIENTO FINANCIERO</t>
  </si>
  <si>
    <t>DEPARTAMENTO DE ANÁLISIS Y ESTUDIOS ECONÓMICOS</t>
  </si>
  <si>
    <t>DEPARTAMENTO DE PLANIFICACIÓN Y DESARROLLO</t>
  </si>
  <si>
    <t>DIVISIÓN FORMULACIÓN, MONITOREO Y EVALUACIÓN DE PLANES DE PROGRAMAS Y PROYECTOS</t>
  </si>
  <si>
    <t xml:space="preserve">JESÚS MANUEL PAYANO REYES </t>
  </si>
  <si>
    <t>DIVISIÓN DESARROLLO INSTITUCIONAL</t>
  </si>
  <si>
    <t>DEPARTAMENTO JURÍDICO</t>
  </si>
  <si>
    <t>AWILDA POLANCO HERNÁNDEZ</t>
  </si>
  <si>
    <t>DIVISIÓN DE REGISTRO, CONTROL Y NÓMINA</t>
  </si>
  <si>
    <t>BIENVENIDO DÍAZ COLLADO</t>
  </si>
  <si>
    <t>DEPARTAMENTO TECNOLOGÍA DE LA INFORMACIÓN Y COMUNICACIÓN</t>
  </si>
  <si>
    <t>DIVISIÓN DESARROLLO E IMPLEMENTACIÓN DE SISTEMAS</t>
  </si>
  <si>
    <t>SOPORTE TÉCNICO DE PRUEBA Y DOCUMENTACIÓN</t>
  </si>
  <si>
    <t xml:space="preserve">RAMÓN ANTONIO TEJEDA LUGO </t>
  </si>
  <si>
    <t>DIVISIÓN OPERACIONES TIC</t>
  </si>
  <si>
    <t>DIVISIÓN SERVICIOS GENERALES</t>
  </si>
  <si>
    <t>SECCIÓN MAYORDOMÍA</t>
  </si>
  <si>
    <t>SUPERVISOR DE MAYORDOMÍA</t>
  </si>
  <si>
    <t xml:space="preserve">MARÍA ALTAGRACIA POLANCO FLORENTINO </t>
  </si>
  <si>
    <t>JUANA RODRÍGUEZ DE LOS SANTOS</t>
  </si>
  <si>
    <t>VICTOR MANUEL DÍAZ CASTILLO</t>
  </si>
  <si>
    <t xml:space="preserve">ALAM DARWIN MARTÍNEZ GARCÍA </t>
  </si>
  <si>
    <t>WANNY ALTAGRACIA RODRÍGUEZ LIBERATO</t>
  </si>
  <si>
    <t>MARÍA ELIZABETH MEJIA</t>
  </si>
  <si>
    <t>SECCIÓN DE MANTENIMIENTO</t>
  </si>
  <si>
    <t xml:space="preserve">TÉCNICO ELECTRICISTA </t>
  </si>
  <si>
    <t>CLAUDIO RAMÓN MATEO MORA</t>
  </si>
  <si>
    <t>SECCIÓN TRANSPORTACIÓN</t>
  </si>
  <si>
    <t>DINO LÓPEZ MATEO</t>
  </si>
  <si>
    <t xml:space="preserve">RAMÓN ANTONIO FLORENTINO JIMÉNEZ </t>
  </si>
  <si>
    <t>MIGUEL ÁNGEL MATOS DE LA PAZ</t>
  </si>
  <si>
    <t>JUAN CLEMENTE RAMÍREZ RINCÓN</t>
  </si>
  <si>
    <t>MANUEL EMILIO PION BERROA</t>
  </si>
  <si>
    <t xml:space="preserve">DOMINGO ANTONIO MOREL MARTÍNEZ </t>
  </si>
  <si>
    <t xml:space="preserve">MÁXIMO FLORIÁN MERCEDES CORDERO </t>
  </si>
  <si>
    <t xml:space="preserve">JOAQUÍN ENRIQUE DÍAZ FLORIÁN </t>
  </si>
  <si>
    <t xml:space="preserve">EDWIN AMADO MEJÍA </t>
  </si>
  <si>
    <t>SECCIÓN ALMACÉN Y SUMINISTRO</t>
  </si>
  <si>
    <t>AUXILIAR DE ALMACÉN Y SUMINISTRO</t>
  </si>
  <si>
    <t>GERSON ANTONIO LIZARDO PÉREZ </t>
  </si>
  <si>
    <t xml:space="preserve">MARÍA LUISA MENDEZ FELIZ </t>
  </si>
  <si>
    <t>TAIRY IVENNY RAMÍREZ RAMÍREZ</t>
  </si>
  <si>
    <t xml:space="preserve">TÉCNICO ARCHIVISTA </t>
  </si>
  <si>
    <t xml:space="preserve">TÉCNICO BIBLIOTECARIO </t>
  </si>
  <si>
    <t xml:space="preserve">CECILIO LÓPEZ </t>
  </si>
  <si>
    <t xml:space="preserve">AUXILIAR DE DOCUMENTACIÓN </t>
  </si>
  <si>
    <t xml:space="preserve">ANGELA ROSA SÁNCHEZ GONZÁLEZ </t>
  </si>
  <si>
    <t xml:space="preserve">ELENA AUDORA RAMÍREZ </t>
  </si>
  <si>
    <t>DANIRDA JACQUELINE PATRICIO RAMÍREZ</t>
  </si>
  <si>
    <t xml:space="preserve">FRANCISCO MORETA GARCÍA </t>
  </si>
  <si>
    <t xml:space="preserve">ZACARÍAS SANTANA </t>
  </si>
  <si>
    <t xml:space="preserve">Nombres y Apellidos </t>
  </si>
  <si>
    <t>YEIMI ELIZABETH BROWN MENDIETA</t>
  </si>
  <si>
    <t>DIRECCIÓN DE ESTUDIOS ECONÓMICOS Y SEGUIMIENTO FINANCIERO</t>
  </si>
  <si>
    <t xml:space="preserve">RAFAEL FRANCISCO JOVINE ZORRILLA </t>
  </si>
  <si>
    <t xml:space="preserve"> AIRÓN DE JESÚS FERNÁNDEZ GIL </t>
  </si>
  <si>
    <t xml:space="preserve"> JUAN ELÍAS PORTALATÍN GARCÍA  </t>
  </si>
  <si>
    <t xml:space="preserve">MELVIN MIGUEL RODRÍGUEZ JIMÉNEZ </t>
  </si>
  <si>
    <t xml:space="preserve"> LUIS ANTONIO RODRÍGUEZ GUTIÉRREZ </t>
  </si>
  <si>
    <t xml:space="preserve">DEPARTAMENTO NORMAS Y METODOLOGÍAS </t>
  </si>
  <si>
    <t xml:space="preserve"> ALBA DOMINICANA REYES REYES </t>
  </si>
  <si>
    <t xml:space="preserve"> SASHA ESTEFANY SOTO SÁNCHEZ </t>
  </si>
  <si>
    <t xml:space="preserve">DIVISIÓN FORMULACIÓN, MONITOREO Y EVALUACIÓN DE PLANES, PROGRAMAS Y PROYECTOS </t>
  </si>
  <si>
    <t xml:space="preserve">JULIO CESAR GÓMEZ GARCÍA </t>
  </si>
  <si>
    <t xml:space="preserve">DIVISION REGISTRO, CONTROL Y NÓMINA </t>
  </si>
  <si>
    <t xml:space="preserve">NANCY JOSEFINA OVALLE GÓMEZ </t>
  </si>
  <si>
    <t xml:space="preserve"> SINAD DE LOS MILAGROS ESTEVEZ SANTANA </t>
  </si>
  <si>
    <t>IDALIA MARÍA MERCEDES ESCOTO</t>
  </si>
  <si>
    <t xml:space="preserve"> NIURVIS YALIZA ABREU JIMÉNEZ </t>
  </si>
  <si>
    <t xml:space="preserve"> NICOL ISABEL BATISTA VALERA </t>
  </si>
  <si>
    <t xml:space="preserve">TÉCNICO DE SERVICIOS Y BENEFICIOS </t>
  </si>
  <si>
    <t>TÉCNICO DE COMUNICACIÓN INSTITUCIONAL</t>
  </si>
  <si>
    <t xml:space="preserve">DIVISIÓN DESARROLLO E IMPLEMENTACIÓN DE SISTEMAS </t>
  </si>
  <si>
    <t xml:space="preserve">SOPORTE TÉCNICO INFORMÁTICO </t>
  </si>
  <si>
    <t>DIVISIÓN DE SERVICIOS GENERALES</t>
  </si>
  <si>
    <t>VICTOR FRANCISCO JOSÉ RODRÍGUEZ GARCÍA</t>
  </si>
  <si>
    <t xml:space="preserve">DAMASO RAMÍREZ MATEO </t>
  </si>
  <si>
    <t xml:space="preserve"> LIOMAR DANIEL JON BREA </t>
  </si>
  <si>
    <t xml:space="preserve"> LIBER MORILLO MORILLO  </t>
  </si>
  <si>
    <t xml:space="preserve">VERENICE CAPELLÁN </t>
  </si>
  <si>
    <t xml:space="preserve"> CHANAY CASTILLO CORCINO </t>
  </si>
  <si>
    <t xml:space="preserve">ENC. SECCIÓN ALMACÉN Y SUMINISTRO </t>
  </si>
  <si>
    <t>TOTAL GENERAL  NÓMINA PERSONAL TEMPORAL</t>
  </si>
  <si>
    <t>DIRECCIÓN GENERAL DE PRESUPUESTO</t>
  </si>
  <si>
    <t>NÓMINA DE SUELDOS: EMPLEADOS EN TRÁMITE DE PENSIÓN</t>
  </si>
  <si>
    <t>TOTAL GENERAL NÓMINA TRÁMITE DE PENSIÓN</t>
  </si>
  <si>
    <t>NÓMINA DE SUELDOS: PERSONAL TEMPORAL</t>
  </si>
  <si>
    <t xml:space="preserve">NÓMINA DE SUELDOS: EMPLEADOS FIJOS </t>
  </si>
  <si>
    <t xml:space="preserve">TOTAL GENERAL NÓMINA PERSONAL FIJO </t>
  </si>
  <si>
    <t xml:space="preserve">ESTANISLAO MERCEDES RODRÍGUEZ </t>
  </si>
  <si>
    <t xml:space="preserve">TÉCNICO DE COMPRAS </t>
  </si>
  <si>
    <t>Nombres y Apellidos</t>
  </si>
  <si>
    <t>ESPECIALISTA DE ESTUDIOS ECONÓMICOS Y SEGUIMIENTO FINANCIERO</t>
  </si>
  <si>
    <t>M</t>
  </si>
  <si>
    <t>F</t>
  </si>
  <si>
    <t>Género</t>
  </si>
  <si>
    <t>JOSÉ ROBERTO MORETA DE LEÓN</t>
  </si>
  <si>
    <t>ENCARGADO SECCIÓN DE MAYORDOMÍA</t>
  </si>
  <si>
    <t>NÓMINA DE SUELDOS: TEMPORAL A PERSONAL FIJO EN CARGOS DE CARRERA</t>
  </si>
  <si>
    <t>TOTAL GENERAL NÓMINA TEMPORAL A PERSONAL FIJO EN CARGOS DE CARRERA</t>
  </si>
  <si>
    <t xml:space="preserve">DIVISIÓN DE COMPRAS  Y CONTRATACIONES  </t>
  </si>
  <si>
    <t>MARIA JOSÉ CASTRO SUERO</t>
  </si>
  <si>
    <t>KIMBERLY JANELIS BERTRAND ROSA</t>
  </si>
  <si>
    <t>MARIEL YUDELKA SOLANO</t>
  </si>
  <si>
    <t>DISEÑADOR GRÁFICO</t>
  </si>
  <si>
    <t>DAIHAN FERNÁNDEZ DE LA CRUZ</t>
  </si>
  <si>
    <t>ANALISTA DE SEGURIDAD TIC I</t>
  </si>
  <si>
    <t>Funcion</t>
  </si>
  <si>
    <t>DE LIBRE NOMBRAMIENTO Y REMOCIÓN</t>
  </si>
  <si>
    <t>NELSON OREIBI MARTÍNEZ SOLER</t>
  </si>
  <si>
    <t>DIVISIÓN DE COMPRAS Y CONTRATACIONES</t>
  </si>
  <si>
    <t>SECCIÓN DE ALMACÉN Y SUMINISTRO</t>
  </si>
  <si>
    <t>NATALIA IRENE VÉLEZ MOLINA</t>
  </si>
  <si>
    <t>FRANCISCO ANTONIO GÓMEZ DE JESÚS</t>
  </si>
  <si>
    <t>ENCARGADO DIVISIÓN DE OPERACIONES TIC</t>
  </si>
  <si>
    <t xml:space="preserve">REYMUNDO SANTANA SAVIÑON </t>
  </si>
  <si>
    <t>ENCARGADA DIVISIÓN DE MINISTERIOS DE OBRAS PÚBLICAS Y VIVIENDA</t>
  </si>
  <si>
    <t>YUDERKIS SANTA MEDINA REYES</t>
  </si>
  <si>
    <t>YEURY RAMON ORTIZ PEÑA</t>
  </si>
  <si>
    <t xml:space="preserve">FEDERICO JONAS REYES VARGAS </t>
  </si>
  <si>
    <t>ENCARGADA DEPARTAMENTO DE SERVICIOS SOCIALES</t>
  </si>
  <si>
    <t>DEPARTAMENTO DE SERVICIOS ECONÓMICOS</t>
  </si>
  <si>
    <t>DEPARTAMENTO DE COMUNICACIONES</t>
  </si>
  <si>
    <t>ENCARGADA DEPARTAMENTO DE COMUNICACIONES</t>
  </si>
  <si>
    <t xml:space="preserve">DIRECCION GENERAL </t>
  </si>
  <si>
    <t>COMITÉ CONSULTIVO Y PROYECTOS ESPECIALES</t>
  </si>
  <si>
    <t>ANALISTA DE CALIDAD EN LA GESTIÓN I</t>
  </si>
  <si>
    <t>MANUEL EMILIO LINARES GUERRERO</t>
  </si>
  <si>
    <t>ALEXANDER CASTILLO ASENCIO</t>
  </si>
  <si>
    <t>CHOFER I</t>
  </si>
  <si>
    <t>ADRIÁN DE FRIAS CARMONA</t>
  </si>
  <si>
    <t>ARNOLD FRANCISCO ALMANZAR JOSEPH</t>
  </si>
  <si>
    <t>ENCARGADO DIVISIÓN DE REGIÓN CIBAO NOROESTE</t>
  </si>
  <si>
    <t>BIENVENIDO DIAZ COLLADO</t>
  </si>
  <si>
    <t xml:space="preserve">ENCARGADO DIVISIÓN DE PRODUCCIÓN GRÁFICA Y DIGITAL </t>
  </si>
  <si>
    <t>ANA MIGUELINA ALTAGRACIA TERRERO DE LEON</t>
  </si>
  <si>
    <t xml:space="preserve"> ENCARGADO DEPARTAMENTO EVALUACIÓN DEL DESEMPEÑO PRESUPUESTARIO</t>
  </si>
  <si>
    <t>ELVIS RAMÓN RICARDO DE JESÚS EUSEBIO ABREU</t>
  </si>
  <si>
    <t>MILOSSIS DEL MILAGRO LIRIANO RODRÍGUEZ</t>
  </si>
  <si>
    <t>ENCARGADA DIVISIÓN DE COMUNICACIÓN INSTITUCIONAL</t>
  </si>
  <si>
    <t>TAIRY IVENNY RAMIREZ RAMIREZ</t>
  </si>
  <si>
    <t xml:space="preserve">DIVISION FORMULACION, MONITOREO Y EVALUACION DE PLANES DE PROGRAMAS Y PROYECTOS </t>
  </si>
  <si>
    <t>JASMIN ALTAGRACIA MARMOLEJOS PAULINO</t>
  </si>
  <si>
    <t>DIVISIÓN DE MINISTERIOS DE TURISMO E INDUSTRIA, COMERCIO Y MIPYMES</t>
  </si>
  <si>
    <t>ANA ELY COMAS GALVÁ</t>
  </si>
  <si>
    <t xml:space="preserve">DIVISION DESARROLLO INSTITUCIONAL </t>
  </si>
  <si>
    <t>KARINA SUERO RUIZ</t>
  </si>
  <si>
    <t xml:space="preserve"> DEPARTAMENTO DE RECURSOS HUMANOS</t>
  </si>
  <si>
    <t>ADMINISTRADOR DE SISTEMAS</t>
  </si>
  <si>
    <t xml:space="preserve">COORDINADOR DE COMITÉ CONSULTIVO Y PROYECTOS ESPECIALES </t>
  </si>
  <si>
    <t>MICKEY JOEL COHÉN SIMÓ</t>
  </si>
  <si>
    <t>JOHNSY IRDEMARO BÁEZ MARTINEZ</t>
  </si>
  <si>
    <t>PATRIA TERESA CROUSSET MATA</t>
  </si>
  <si>
    <t>AMANDA HILARIO ABREU</t>
  </si>
  <si>
    <t>ESPECIALISTA DIRECCIÓN DE CALIDAD Y EVALUACIÓN DE LA GESTIÓN PRESUPUESTARIA</t>
  </si>
  <si>
    <t xml:space="preserve">ANA YISEL CUEVAS MATOS </t>
  </si>
  <si>
    <t>BRYAN ALEXIS THOMPSON PÉREZ</t>
  </si>
  <si>
    <t xml:space="preserve">HAMLET ALFONSO JIMÉNEZ RIVERA </t>
  </si>
  <si>
    <t xml:space="preserve">MÉDICO </t>
  </si>
  <si>
    <t>SANTA DIGNA RIVERA DE ALEJO</t>
  </si>
  <si>
    <t xml:space="preserve">SOCORRO HERNANDEZ VALDEZ </t>
  </si>
  <si>
    <t>AMBAR CHANEL PERALTA GEORGE</t>
  </si>
  <si>
    <t>ENCARGADA DIVISIÓN DE PRESIDENCIA DE LA REPÚBLICA Y MINISTERIO DE RELACIONES EXTERIORES</t>
  </si>
  <si>
    <t>DIVISIÓN DE REGIÓN SUR CENTRAL</t>
  </si>
  <si>
    <t>ENCARGADA DIVISIÓN DE REGIÓN SUR CENTRAL</t>
  </si>
  <si>
    <t>DEPARTAMENTO DE  NORMAS Y METODOLOGÍAS</t>
  </si>
  <si>
    <t xml:space="preserve">MARÍA VICTORIA ORTÍZ SÁNCHEZ </t>
  </si>
  <si>
    <t xml:space="preserve"> ENCARGADA DEPARTAMENTO DE  NORMAS Y METODOLOGÍAS</t>
  </si>
  <si>
    <t>COORDINADOR DE DESARROLLO DE CAPACIDADES PRESUPUESTARIA</t>
  </si>
  <si>
    <t>COORDINADOR DE ENLACE SIGEF</t>
  </si>
  <si>
    <t>ENCARGADO  DIVISIÓN DE MINISTERIOS DE HACIENDA, ADMINISTRACIÓN PÚBLICA, ECONOMÍA, PLANIFICACIÓN Y DESARROLLO</t>
  </si>
  <si>
    <t>FRANCIS ISRAEL SALDAÑA SANTANA</t>
  </si>
  <si>
    <t>PATRICIA CAROLINA PERDOMO GARCIA</t>
  </si>
  <si>
    <t>RICARDO JOSÉ SANTANA DÍAZ</t>
  </si>
  <si>
    <t>FERNANDO LUIS SAN MIGUEL ÁLVAREZ</t>
  </si>
  <si>
    <t>JOERAH EDMÉE ALFAU LARACUENTE</t>
  </si>
  <si>
    <t>VIRMARYS ANDREINA CANELA TORRES</t>
  </si>
  <si>
    <t>ERICK RAMÓN SANTANA REYES</t>
  </si>
  <si>
    <t>RAFAEL VITERBO DE LA ROSA CABA</t>
  </si>
  <si>
    <t>ANALISTA DE ANÁLISIS DE ESTUDIOS ECONÓMICOS I</t>
  </si>
  <si>
    <t xml:space="preserve">EDWIN AMADO MEJIA </t>
  </si>
  <si>
    <t>DANIA ALCANTARA GUTIERREZ</t>
  </si>
  <si>
    <t xml:space="preserve">ANALISTA DE NORMAS Y METODOLOGIA </t>
  </si>
  <si>
    <t>ANALISTA DE EVALUACION DEL DESEMPEÑO PRESUPUESTARIO</t>
  </si>
  <si>
    <t xml:space="preserve">FABIO MIGUEL CABRERA GOMEZ </t>
  </si>
  <si>
    <t xml:space="preserve">COORDINADOR SECTORIAL DE PRESUPUESTO </t>
  </si>
  <si>
    <t>COORDINADORA DE ANÁLISIS DE ESTUDIOS ECONÓMICOS II</t>
  </si>
  <si>
    <t>COORDINADORA DE EVALUACIÓN DEL DESEMPEÑO DE GESTIÓN PRESUPUESTARIA I</t>
  </si>
  <si>
    <t xml:space="preserve"> </t>
  </si>
  <si>
    <t>DDIVISIÓN DE MINISTERIO DE DEFENSA</t>
  </si>
  <si>
    <t xml:space="preserve">PATRICIA CAROLINA DILONE GIL </t>
  </si>
  <si>
    <t xml:space="preserve">SORANGEL GONZALEZ DIAZ </t>
  </si>
  <si>
    <t>NICKOL RODRÍGUEZ FERNÁNDEZ</t>
  </si>
  <si>
    <t xml:space="preserve">SFS DEPENDIENTES </t>
  </si>
  <si>
    <t>TOTAL TSS</t>
  </si>
  <si>
    <t>MONTO PARA ISR</t>
  </si>
  <si>
    <t xml:space="preserve">EDIGEN MANUEL FLORIAN FLORIAN </t>
  </si>
  <si>
    <t>SFS DEPENDIENTES</t>
  </si>
  <si>
    <t xml:space="preserve">LIANNY ROJAS DE AZA </t>
  </si>
  <si>
    <t xml:space="preserve">MARTA FELICIA DIAZ CASTILLO </t>
  </si>
  <si>
    <t xml:space="preserve">YONY AGUSTIN DEAZA </t>
  </si>
  <si>
    <t xml:space="preserve">GENARO PASCASIO CANELA </t>
  </si>
  <si>
    <t xml:space="preserve">LUBEANA MONTERO MORILLO </t>
  </si>
  <si>
    <t xml:space="preserve">VERONICA VALDEZ </t>
  </si>
  <si>
    <t xml:space="preserve">JOSE FRANCISCO PLACENCIA </t>
  </si>
  <si>
    <t xml:space="preserve">ANGELLI FRANCHESKA ECHAVARRIA ZABALA </t>
  </si>
  <si>
    <t xml:space="preserve">YULISSA MILAGROS BURGOS MEDINA </t>
  </si>
  <si>
    <t>ANALISTA DE EVALUACION DESEMPEÑO Y CAPACITACION</t>
  </si>
  <si>
    <t xml:space="preserve">DIVISION DE EVALUACION DEL DESEMPEÑO Y CAPACITACION </t>
  </si>
  <si>
    <t xml:space="preserve">MIGUEL ELIAS SARRAF CARABALLO </t>
  </si>
  <si>
    <t>ROMA DELFINA TAVERAS PIÑA</t>
  </si>
  <si>
    <t>FRANCISCO ANTONIO MENDEZ VELAZQUEZ</t>
  </si>
  <si>
    <t>CRISTAL THALIA MARTES PAULINO</t>
  </si>
  <si>
    <t xml:space="preserve">YAN LI SUAREZ </t>
  </si>
  <si>
    <t xml:space="preserve">VIRMANIA MANZUETA DE PEREZ </t>
  </si>
  <si>
    <t>ANALISTA DE CAPACITACION Y DESARROLLO</t>
  </si>
  <si>
    <t xml:space="preserve">WENDY ABREU DILONE </t>
  </si>
  <si>
    <t>ALCY LOPEZ SEGURA</t>
  </si>
  <si>
    <t>SECCION DE DOCUMENTACION</t>
  </si>
  <si>
    <t>JENNIFER DEL PILAR OVALLE SANTANA</t>
  </si>
  <si>
    <t>FIJA</t>
  </si>
  <si>
    <t xml:space="preserve">JOSE ROBERTO MORTEA DE LEON  </t>
  </si>
  <si>
    <t xml:space="preserve">NORVIN DARINEL BERGES SANCHEZ </t>
  </si>
  <si>
    <t xml:space="preserve">ENCARCADO SERVICIOS A LOS GOBIERNOS LOCALES </t>
  </si>
  <si>
    <t xml:space="preserve">JULIO JEREZ ADAMES </t>
  </si>
  <si>
    <t>JULIANA GILLERMINA MORERA VILLALON</t>
  </si>
  <si>
    <t>DIVISIÓN DE MINISTERIOS DE MEDIO AMBIENTE, AGRICULTURA, ENERGIA Y MINAS</t>
  </si>
  <si>
    <t xml:space="preserve">JHOSELYN POLANCO BRITO </t>
  </si>
  <si>
    <t>CARRERA ADMINISTRATIVA</t>
  </si>
  <si>
    <t>JOSE JAVIER SANTANA UREÑA</t>
  </si>
  <si>
    <t>PAOLA GELMANIA SIDO DIAZ</t>
  </si>
  <si>
    <t xml:space="preserve">LORENNA YISSEL DOMINGUEZ AYBAR </t>
  </si>
  <si>
    <t xml:space="preserve">JUAN EDILVER ROSARIO MOTA </t>
  </si>
  <si>
    <t>MARIA ERCILIA JIMENEZ MARTINEZ</t>
  </si>
  <si>
    <t>MILDRED STERLING SANTANA</t>
  </si>
  <si>
    <t xml:space="preserve">AUXILIAR DE ENFERMERIA </t>
  </si>
  <si>
    <t xml:space="preserve">GLENNY CONCEPCION CRUZ  </t>
  </si>
  <si>
    <t xml:space="preserve">ENCARGADA DE DOCUMENTACIÓN </t>
  </si>
  <si>
    <t xml:space="preserve">TÉCNICO EN PRESUPUESTO Y TESORERIA </t>
  </si>
  <si>
    <t>DESARROLLADOR DE SISTEMA</t>
  </si>
  <si>
    <t>LEWIS KAROLINE ROSA VILLAR</t>
  </si>
  <si>
    <t>LUIS ANDRÉS HILARIO SALAS</t>
  </si>
  <si>
    <t>AUXILIAR DE DOCUMENTACIÓN</t>
  </si>
  <si>
    <t>LUDOVINO CEBALLOS JIMÉNEZ</t>
  </si>
  <si>
    <t>DIRECTOR DIRECCIÓN DE ESTUDIOS ECONOMICOS Y SEGUIMIENTO FINANCIERO</t>
  </si>
  <si>
    <t>ELISON BIENVENIDO ARIAS GARCIA</t>
  </si>
  <si>
    <t>ENCARGADO DIVISIÓN DE REGISTRO, CONTROL Y NÓMINA</t>
  </si>
  <si>
    <t>ANALISTA LEGAL</t>
  </si>
  <si>
    <t xml:space="preserve">ENCARGADA DIVISIÓN DE ORGANIZACIÓN DEL TRABAJO Y COMPENSACIÓN </t>
  </si>
  <si>
    <t>JUAN FRANCISCO DE LOS SANTOS DECENA</t>
  </si>
  <si>
    <t>ENCARGADO DIVISIÓN DE COMPRAS Y CONTRATACIONES</t>
  </si>
  <si>
    <t>ADRIANA LOPEZ CASTILLO</t>
  </si>
  <si>
    <t>JOSÉ ALEJANDRO GUTIÉRREZ LORENZO</t>
  </si>
  <si>
    <t>ANALISTA DE NORMAS Y METODOLOGÍAS PRESUPUESTARIAS</t>
  </si>
  <si>
    <t xml:space="preserve">RESPONSABLE DE OFICINA DE LIBRE ACCESO </t>
  </si>
  <si>
    <t xml:space="preserve">   </t>
  </si>
  <si>
    <t>ENCARGADO DE SECCIÓN DE ACTIVOS FIJOS Y CONTABILIDAD</t>
  </si>
  <si>
    <t xml:space="preserve">ENCARGADO DEL DEPARTAMENTO DE  GESTIÓN FINANCIERA DE FORMULACIÓN Y EJECUCIÓN </t>
  </si>
  <si>
    <t>ENCARGADA DEL DEPARTAMENTO DE ANÁLISIS Y ESTUDIOS ECONÓMICOS</t>
  </si>
  <si>
    <t xml:space="preserve">ENCARGADO DEL DEPARTAMENTO ADMINISTRATIVO Y FINANCIERO  </t>
  </si>
  <si>
    <t xml:space="preserve">ENCARGADO DE LA  DIVISIÓN DE SERVICIOS GENERALES </t>
  </si>
  <si>
    <t>JUSTINIANO JUAN MANUEL RODRIGUEZ PÉREZ</t>
  </si>
  <si>
    <t>CRISTIAN JESÚS MARTINEZ</t>
  </si>
  <si>
    <t>JOAB BIENVENIDO MERCEDES POLANCO</t>
  </si>
  <si>
    <t>LORENDA NUVIS DIAZ</t>
  </si>
  <si>
    <t>CLARA MARIA RAMIREZ RODRIGUEZ</t>
  </si>
  <si>
    <t>MIGUEL ANGEL PÉREZ DIAZ</t>
  </si>
  <si>
    <t xml:space="preserve">ANALISTA DE PLANIFICACION </t>
  </si>
  <si>
    <t>MARIEL AMANDA MATOS JIMINIÁN</t>
  </si>
  <si>
    <t xml:space="preserve">Saldo a Favor </t>
  </si>
  <si>
    <t xml:space="preserve">CARGO DE CONFIANZA </t>
  </si>
  <si>
    <t xml:space="preserve">TÉCNICO  DE PLANIFICACIÓN </t>
  </si>
  <si>
    <t>CAROLINA MATEO TERRERO DE VIDAL</t>
  </si>
  <si>
    <t xml:space="preserve">SUPERVISOR (A) DE COMEDOR </t>
  </si>
  <si>
    <t xml:space="preserve">ANGELA AGRAMONTE GARCIA </t>
  </si>
  <si>
    <t xml:space="preserve">FELIX JOSE VICENTE COLON </t>
  </si>
  <si>
    <t xml:space="preserve">JAIRO MANUEL FELIZ LOPEZ </t>
  </si>
  <si>
    <t>FACUNDO GUZMAN</t>
  </si>
  <si>
    <t xml:space="preserve">SAMUEL ARIAS GOMEZ </t>
  </si>
  <si>
    <t xml:space="preserve">ARIEL BENJAMIN MARTINEZ ZABALA </t>
  </si>
  <si>
    <t>ALBERTO DIVINO ZAPATA GUEVARA</t>
  </si>
  <si>
    <t xml:space="preserve">ANA ELIZABETH RODRIGUEZ PEREZ </t>
  </si>
  <si>
    <t>ANALISTA DE ANALISIS DE ESTUDIOS ECONOMICOS I</t>
  </si>
  <si>
    <t xml:space="preserve">DELFI DOLORES DE SALAS ANTONIO </t>
  </si>
  <si>
    <t>DIVISION FINANCIERA</t>
  </si>
  <si>
    <t>ENCARGADA DIVISIÓN DESARROLLO INSTITUCIONAL</t>
  </si>
  <si>
    <t xml:space="preserve">DELMIS MARTES HICHEZ </t>
  </si>
  <si>
    <t xml:space="preserve">ESPECIALISTA DE PROYECTOS ESPECIALES </t>
  </si>
  <si>
    <t xml:space="preserve">DIVISIÓN DE CALIDAD EN LA GESTION </t>
  </si>
  <si>
    <t xml:space="preserve"> TÉCNICO ADMINISTRATIVO</t>
  </si>
  <si>
    <t xml:space="preserve">ANALISTA  DE PLANIFICACION E IGUALDA DE GENERO </t>
  </si>
  <si>
    <t>WINDRYS SÁNCHEZ DE RUIZ</t>
  </si>
  <si>
    <t>RAMFIS MICHAEL MORENO GONZÁLEZ</t>
  </si>
  <si>
    <t>MARÍA ESTEFANY CORONA CRUZ</t>
  </si>
  <si>
    <t>TÉCNICO DE CONTABILIDAD</t>
  </si>
  <si>
    <t xml:space="preserve">DIVISIÓN ADMINISTRATIVA </t>
  </si>
  <si>
    <t>ANTONIO RAFAEL HERNÁNDEZ CAPELLÁN</t>
  </si>
  <si>
    <t>ENCARGADO DIVISIÓN ADMINISTRATIVA</t>
  </si>
  <si>
    <t xml:space="preserve">ENCARGADA DIVISIÓN DE LA CALIDAD EN LA GESTIÓN  </t>
  </si>
  <si>
    <t xml:space="preserve">DIVISIÓN DE LA CALIDAD EN LA GESTIÓN  </t>
  </si>
  <si>
    <t>ANALISTA DE GESTIÓN FINANCIERA DE FORMULACIÓN Y EJECUCIÓN I</t>
  </si>
  <si>
    <t>ANALISTA DE NÓMINA</t>
  </si>
  <si>
    <t>ABRAHAM DE LEÓN MONTERO</t>
  </si>
  <si>
    <t>JULIZA GIL CASTILLO</t>
  </si>
  <si>
    <t>ENCARGADA DIVISIÓN DE MINISTERIOS DE LA MUJER, JUVENTUD, CULTURA, DEPORTES Y RECREACIÓN.</t>
  </si>
  <si>
    <t>INGRID LUNA GALVAN</t>
  </si>
  <si>
    <t>CARLOS MANUEL BEREGUETE CABRERA</t>
  </si>
  <si>
    <t xml:space="preserve">ALEXANDER SALDAÑA LUCIANO </t>
  </si>
  <si>
    <t>BASILIO MARTINEZ</t>
  </si>
  <si>
    <t>ANALISTA DE DESARROLLO INSTITUCIONAL I</t>
  </si>
  <si>
    <t xml:space="preserve">THANIA LILIBET HERRERA MATEO </t>
  </si>
  <si>
    <t>JUAN ANDRES ESCOLFULLER CASTILLO</t>
  </si>
  <si>
    <t>SECCION DE MANTENIMIENTO</t>
  </si>
  <si>
    <t>EDDY RICARDO INOA MENDOZA</t>
  </si>
  <si>
    <t>ENCARGADO SECCION DE MANTENIMIENTO</t>
  </si>
  <si>
    <t>DIVISIÓN DE MINISTERIOS DE LA MUJER, JUVENTUD, CULTURA, DEPORTES Y RECREACIÓN.</t>
  </si>
  <si>
    <t>ENCARGADA DE DIVISIÓN DE MINISTERIOS DE LA MUJER, JUVENTUD, CULTURA, DEPORTES Y RECREACIÓN</t>
  </si>
  <si>
    <t xml:space="preserve">COORDINADORA SECTORIAL DE PRESUPUESTO </t>
  </si>
  <si>
    <t>ROSA MARIA COLAS JIMENEZ</t>
  </si>
  <si>
    <t>NURIA MADELINE VELOZ REYES</t>
  </si>
  <si>
    <t>KELVINSON DE LA CEUZ SANTANA</t>
  </si>
  <si>
    <t>ENCARGADA  SECCIÓN DE PRESUPUESTO Y TESORERÍA</t>
  </si>
  <si>
    <t>JUAN ALFONSO PAULINO RODRIGUEZ</t>
  </si>
  <si>
    <t xml:space="preserve">ANA MARIA BIERD DE JESUS </t>
  </si>
  <si>
    <t>ENCARGADA DE DIVISION DE MINISTERIO DE OBRAS PUBLICAS Y VIVIENDA</t>
  </si>
  <si>
    <t>BELKIS ADALGISA MAÑON HIDALGO</t>
  </si>
  <si>
    <t>DIVISION DE SERVICIOS A LAS EMPRESAS PÚBLICAS NO FINANCIERAS</t>
  </si>
  <si>
    <t>ENC. DIVISION DE SERVICIOS A LAS EMPRESAS PÚBLICAS NO FINANCIERAS</t>
  </si>
  <si>
    <t>ANALISTA SECTORIAL DE PRESUPUESTO I</t>
  </si>
  <si>
    <t xml:space="preserve">ENCARGADA DEPARTAMENTO DE PLANIFICACION Y DESARROLLO </t>
  </si>
  <si>
    <t>ANGEL YUNIOR ROMERO PEÑA</t>
  </si>
  <si>
    <t>ANDREINA YAMILKA CABRAL LLUBERES</t>
  </si>
  <si>
    <t>MIGUEL ANTONIO ANDUJAR GUZMÁN</t>
  </si>
  <si>
    <t>MERCEDES FRANCISCA ROSARIO BRAZOBÁN</t>
  </si>
  <si>
    <t xml:space="preserve">ANALISTA SECTORIAL DE PRESUPUESTO I </t>
  </si>
  <si>
    <t>DAURIS OSCAR FAMILIA HERNÁNDEZ</t>
  </si>
  <si>
    <t>DIVISIÓN DE  DE PODER JUDICIAL, CÁMARA DE DIPUTADOS Y SENADO DE LA REPÚBLICA</t>
  </si>
  <si>
    <t>ANDRÉS AUGUSTO GARCÍA VALIENTE</t>
  </si>
  <si>
    <t>f</t>
  </si>
  <si>
    <t>ELVIRANYI RAQUEL MARTINEZ</t>
  </si>
  <si>
    <t xml:space="preserve">JULIAN JOSE ACOSTA ACOSTA </t>
  </si>
  <si>
    <t>ALEXANDER HILARIO OSORIO</t>
  </si>
  <si>
    <t>ENCARGADO DEPT- TECNOLOGÍA DE LA INFORMACIÓN Y COMUNICACIÓN</t>
  </si>
  <si>
    <t>ENCARGADO DIV. ADMINISTRACIÓN DE SERVICIOS TIC</t>
  </si>
  <si>
    <t xml:space="preserve">TÉCNICO ADMINISTRATIVO </t>
  </si>
  <si>
    <t>EMILY ROSEILY MONTERO OGANDO</t>
  </si>
  <si>
    <t>MAURICIO RAFAEL CHIA VERDEJA</t>
  </si>
  <si>
    <t xml:space="preserve">MAURIN FRANCHESCA CORTORREAL DEL PILAR </t>
  </si>
  <si>
    <t>BRYAN ALBERTO FERNANDEZ</t>
  </si>
  <si>
    <t>MIGUEL NUÑEZ ACEVEDO</t>
  </si>
  <si>
    <t>YANNA ENEROLISA PEREZ ALCANTARA</t>
  </si>
  <si>
    <t>TANIA MELISSA QUELIZ SANCHEZ</t>
  </si>
  <si>
    <t>01 DE FEBRERO DEL 2026</t>
  </si>
  <si>
    <t>ROSABEL ITAMAR MADURO JIMENEZ</t>
  </si>
  <si>
    <t>SFS Dependientes</t>
  </si>
  <si>
    <t>ENCARGADA DE LA DIVISION FINANCIERA</t>
  </si>
  <si>
    <t xml:space="preserve">ESMERALDA CARMONA AGUSTIN </t>
  </si>
  <si>
    <t xml:space="preserve">KIARA REGINA ESTRELLA TORIBIO </t>
  </si>
  <si>
    <t xml:space="preserve">MARIA ROSA NICASIO </t>
  </si>
  <si>
    <t xml:space="preserve">AMBAR QUISQUEYA PEÑA OGANDO </t>
  </si>
  <si>
    <t xml:space="preserve">HANSHER MANUEL RUA PEREZ </t>
  </si>
  <si>
    <t xml:space="preserve">JUAN DANIEL ALCANTARA OVIEDO </t>
  </si>
  <si>
    <t>01 DE ABRIL DE 2026</t>
  </si>
  <si>
    <t>01 DE MARZO DE 2026</t>
  </si>
  <si>
    <t>LIANNY ROJAS DE AZA</t>
  </si>
  <si>
    <t>TECNICO ADMINISTRATIVO</t>
  </si>
  <si>
    <t xml:space="preserve">ASISTENTE I </t>
  </si>
  <si>
    <t xml:space="preserve"> ANALISTA DE PLANIFICACIÓN I</t>
  </si>
  <si>
    <t>COORDINADOR MESA DE AYUDA</t>
  </si>
  <si>
    <t xml:space="preserve">DEPARTAMENTO DE GOBIERNO LOCALES </t>
  </si>
  <si>
    <t xml:space="preserve">SOPORTE TÉCNICO DE PRUEBAS Y DOCUMENTACIÓN </t>
  </si>
  <si>
    <t>DIANA VIVIANA FLORIAN VESQUEZ</t>
  </si>
  <si>
    <t>JOALDO ERNESTO LOPEZ ESPINOSA</t>
  </si>
  <si>
    <t>01 DE MAYO DE 2026</t>
  </si>
  <si>
    <t xml:space="preserve">TECNICO ADMINISTRATIVO </t>
  </si>
  <si>
    <t>02 DE JULIO DEL 2026</t>
  </si>
  <si>
    <t>01 DE JULIO DEL 2026</t>
  </si>
  <si>
    <t>IDALIA MERCEDES ESCOTO</t>
  </si>
  <si>
    <t>JOSE ALBERTO MACHADO INOA</t>
  </si>
  <si>
    <t>LUIS ORLANDO HAZA LOPEZ</t>
  </si>
  <si>
    <t>EVA CAROLINA SANCHEZ JAVIER</t>
  </si>
  <si>
    <t xml:space="preserve">JULIRIS ELIZABETH PEQUERO MOTA </t>
  </si>
  <si>
    <t>01 DE AGOSTO DEL 2026</t>
  </si>
  <si>
    <t>01 DE JUNIO DE 2026</t>
  </si>
  <si>
    <t xml:space="preserve">MERCEDES FLORENTINO MONTAS </t>
  </si>
  <si>
    <t xml:space="preserve">SECCION DE MAYORDOMIA </t>
  </si>
  <si>
    <t xml:space="preserve">SECCION DE DOCUMENTACION </t>
  </si>
  <si>
    <t>01 DE  JUNIO DE 2026</t>
  </si>
  <si>
    <t xml:space="preserve">DEYVI NOEL CASTILLO RICHARDSON </t>
  </si>
  <si>
    <t>REYMI DANIEL CARABALLO RAVELO</t>
  </si>
  <si>
    <t>LUIS MIGUEL SANTO CONTRERAS</t>
  </si>
  <si>
    <t xml:space="preserve">ENCARGADA DE RECURSOS HUMANOS </t>
  </si>
  <si>
    <t>1 DE SEPTIEMBRE DE 2026</t>
  </si>
  <si>
    <t xml:space="preserve">REALIZADOR AUDIOVISUAL </t>
  </si>
  <si>
    <t xml:space="preserve">ENCARGADA DE DVISION </t>
  </si>
  <si>
    <t>NÓMINA DE SUELDOS: EMPLEADOS EN PERIODO PROBATORIO</t>
  </si>
  <si>
    <t xml:space="preserve">PROBATORIO </t>
  </si>
  <si>
    <t xml:space="preserve">LESLIE LORENA GUERRERO GONZALEZ </t>
  </si>
  <si>
    <t xml:space="preserve">MARIA MAGDALENA CABRERA FRANCO </t>
  </si>
  <si>
    <t>JOSE SEBASTIAN UBIERA MOTA</t>
  </si>
  <si>
    <t>CORRECTOR DE ESTILO</t>
  </si>
  <si>
    <t xml:space="preserve">RELIZADOR AUDIOVISUAL </t>
  </si>
  <si>
    <t>01 DE OCTUBRE DE 2026</t>
  </si>
  <si>
    <t>VIRGINIA MASSIEL BETANCOURT MOJICA</t>
  </si>
  <si>
    <t>01 DE NOVIEMBRE DE 2026</t>
  </si>
  <si>
    <t xml:space="preserve">01 DE MAYO DE 2026 </t>
  </si>
  <si>
    <t xml:space="preserve">ENCARGADA DEPARTAMENTO DE RECURSOS HUMANOS </t>
  </si>
  <si>
    <t xml:space="preserve">ENCARGADA DE DIVISION BIENESTAR LABORAL </t>
  </si>
  <si>
    <t xml:space="preserve"> 01 DE NOVIEMBRE DE 2026</t>
  </si>
  <si>
    <t>01 DE MAYO DEL 2026</t>
  </si>
  <si>
    <t>MARÍA HORTENSIA DURAN CAPELLAN</t>
  </si>
  <si>
    <t>ENCARGADA DIVISIÓN DE FORMULACIÓN, MONITOREO Y EVALUACIÓN DE PLANES, PROGRAMAS Y PROYECTOS</t>
  </si>
  <si>
    <t>ANDRÉS CABRAL ROSA</t>
  </si>
  <si>
    <t xml:space="preserve">TÉCNICO DE REGISTRO Y CONTROL </t>
  </si>
  <si>
    <t>01 DE  ENERO DE 2027</t>
  </si>
  <si>
    <t>01 DE ENERO DEL 2027</t>
  </si>
  <si>
    <t>02 DE FEBRERO DEL 2027</t>
  </si>
  <si>
    <t>01 DE FEBRERO DEL 2027</t>
  </si>
  <si>
    <t xml:space="preserve">JOSE ALBERTO MARTE AVILA </t>
  </si>
  <si>
    <t>JOSE ANIBAL MANCEBO REYES</t>
  </si>
  <si>
    <t>Correspondiente al mes de agosto del año 2026</t>
  </si>
  <si>
    <t>01 DE MARZO DEL 2027</t>
  </si>
  <si>
    <t xml:space="preserve">ANALISTA DE COMPRAS Y CONTRATACIONES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</si>
</sst>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-* #,##0.00_-;\-* #,##0.00_-;_-* &quot;-&quot;??_-;_-@_-"/>
    <numFmt numFmtId="165" formatCode="000\-0000000\-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sz val="10"/>
      <color theme="1"/>
      <name val="Century Gothic"/>
      <family val="2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2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97">
    <xf numFmtId="0" fontId="0" fillId="0" borderId="0" xfId="0"/>
    <xf numFmtId="0" fontId="4" fillId="2" borderId="0" xfId="0" applyFont="1" applyFill="1"/>
    <xf numFmtId="43" fontId="4" fillId="2" borderId="0" xfId="1" applyFont="1" applyFill="1" applyBorder="1"/>
    <xf numFmtId="0" fontId="4" fillId="2" borderId="0" xfId="0" applyFont="1" applyFill="1" applyAlignment="1">
      <alignment horizontal="center"/>
    </xf>
    <xf numFmtId="43" fontId="4" fillId="2" borderId="0" xfId="0" applyNumberFormat="1" applyFont="1" applyFill="1"/>
    <xf numFmtId="164" fontId="4" fillId="2" borderId="0" xfId="0" applyNumberFormat="1" applyFont="1" applyFill="1"/>
    <xf numFmtId="0" fontId="5" fillId="2" borderId="0" xfId="0" applyFont="1" applyFill="1" applyAlignment="1">
      <alignment horizontal="center"/>
    </xf>
    <xf numFmtId="43" fontId="11" fillId="2" borderId="0" xfId="1" applyFont="1" applyFill="1" applyBorder="1"/>
    <xf numFmtId="0" fontId="11" fillId="2" borderId="0" xfId="0" applyFont="1" applyFill="1"/>
    <xf numFmtId="0" fontId="13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6" fillId="2" borderId="0" xfId="0" applyFont="1" applyFill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43" fontId="17" fillId="4" borderId="1" xfId="1" applyFont="1" applyFill="1" applyBorder="1"/>
    <xf numFmtId="43" fontId="16" fillId="2" borderId="0" xfId="0" applyNumberFormat="1" applyFont="1" applyFill="1"/>
    <xf numFmtId="43" fontId="16" fillId="2" borderId="0" xfId="1" applyFont="1" applyFill="1" applyBorder="1"/>
    <xf numFmtId="43" fontId="17" fillId="2" borderId="0" xfId="1" applyFont="1" applyFill="1" applyBorder="1"/>
    <xf numFmtId="43" fontId="16" fillId="2" borderId="0" xfId="1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165" fontId="13" fillId="2" borderId="0" xfId="0" applyNumberFormat="1" applyFont="1" applyFill="1" applyAlignment="1">
      <alignment horizontal="left" wrapText="1"/>
    </xf>
    <xf numFmtId="0" fontId="16" fillId="2" borderId="0" xfId="0" applyFont="1" applyFill="1" applyAlignment="1">
      <alignment horizontal="center"/>
    </xf>
    <xf numFmtId="43" fontId="16" fillId="2" borderId="0" xfId="1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43" fontId="15" fillId="2" borderId="0" xfId="1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43" fontId="16" fillId="0" borderId="0" xfId="1" applyFont="1" applyFill="1" applyBorder="1"/>
    <xf numFmtId="43" fontId="16" fillId="0" borderId="0" xfId="1" applyFont="1" applyFill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43" fontId="17" fillId="3" borderId="6" xfId="0" applyNumberFormat="1" applyFont="1" applyFill="1" applyBorder="1"/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/>
    </xf>
    <xf numFmtId="0" fontId="16" fillId="0" borderId="2" xfId="0" applyFont="1" applyBorder="1" applyAlignment="1">
      <alignment horizontal="center"/>
    </xf>
    <xf numFmtId="43" fontId="16" fillId="0" borderId="2" xfId="1" applyFont="1" applyFill="1" applyBorder="1"/>
    <xf numFmtId="43" fontId="16" fillId="0" borderId="2" xfId="0" applyNumberFormat="1" applyFont="1" applyBorder="1"/>
    <xf numFmtId="0" fontId="16" fillId="0" borderId="0" xfId="0" applyFont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43" fontId="16" fillId="0" borderId="1" xfId="1" applyFont="1" applyFill="1" applyBorder="1"/>
    <xf numFmtId="43" fontId="16" fillId="0" borderId="1" xfId="0" applyNumberFormat="1" applyFont="1" applyBorder="1"/>
    <xf numFmtId="165" fontId="13" fillId="0" borderId="1" xfId="0" applyNumberFormat="1" applyFont="1" applyBorder="1" applyAlignment="1">
      <alignment horizontal="left" wrapText="1"/>
    </xf>
    <xf numFmtId="43" fontId="17" fillId="0" borderId="0" xfId="1" applyFont="1" applyFill="1" applyBorder="1"/>
    <xf numFmtId="43" fontId="16" fillId="0" borderId="0" xfId="1" applyFont="1" applyFill="1" applyBorder="1" applyAlignment="1">
      <alignment horizontal="left"/>
    </xf>
    <xf numFmtId="43" fontId="16" fillId="2" borderId="2" xfId="1" applyFont="1" applyFill="1" applyBorder="1"/>
    <xf numFmtId="0" fontId="16" fillId="2" borderId="1" xfId="0" applyFont="1" applyFill="1" applyBorder="1" applyAlignment="1">
      <alignment horizontal="left"/>
    </xf>
    <xf numFmtId="165" fontId="13" fillId="2" borderId="1" xfId="0" applyNumberFormat="1" applyFont="1" applyFill="1" applyBorder="1" applyAlignment="1">
      <alignment horizontal="left" wrapText="1"/>
    </xf>
    <xf numFmtId="43" fontId="16" fillId="2" borderId="1" xfId="1" applyFont="1" applyFill="1" applyBorder="1"/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165" fontId="13" fillId="2" borderId="2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5" fillId="2" borderId="0" xfId="0" applyFont="1" applyFill="1" applyAlignment="1">
      <alignment horizontal="center"/>
    </xf>
    <xf numFmtId="0" fontId="17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2" borderId="2" xfId="0" applyFont="1" applyFill="1" applyBorder="1" applyAlignment="1">
      <alignment horizontal="left"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43" fontId="16" fillId="0" borderId="1" xfId="1" applyFont="1" applyFill="1" applyBorder="1" applyAlignment="1">
      <alignment vertical="center"/>
    </xf>
    <xf numFmtId="43" fontId="16" fillId="0" borderId="2" xfId="1" applyFont="1" applyFill="1" applyBorder="1" applyAlignment="1">
      <alignment vertical="center"/>
    </xf>
    <xf numFmtId="43" fontId="21" fillId="2" borderId="1" xfId="1" applyFont="1" applyFill="1" applyBorder="1"/>
    <xf numFmtId="43" fontId="21" fillId="2" borderId="2" xfId="1" applyFont="1" applyFill="1" applyBorder="1"/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43" fontId="13" fillId="2" borderId="1" xfId="1" applyFont="1" applyFill="1" applyBorder="1"/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43" fontId="11" fillId="2" borderId="0" xfId="0" applyNumberFormat="1" applyFont="1" applyFill="1"/>
    <xf numFmtId="0" fontId="15" fillId="3" borderId="22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/>
    </xf>
    <xf numFmtId="43" fontId="16" fillId="0" borderId="2" xfId="0" applyNumberFormat="1" applyFont="1" applyBorder="1" applyAlignment="1">
      <alignment vertic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6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5" fillId="3" borderId="7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43" fontId="7" fillId="4" borderId="1" xfId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3" fontId="4" fillId="2" borderId="1" xfId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43" fontId="4" fillId="2" borderId="0" xfId="1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7" fillId="2" borderId="0" xfId="1" applyFont="1" applyFill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43" fontId="4" fillId="2" borderId="1" xfId="0" applyNumberFormat="1" applyFont="1" applyFill="1" applyBorder="1" applyAlignment="1">
      <alignment vertical="center"/>
    </xf>
    <xf numFmtId="43" fontId="4" fillId="0" borderId="2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4" fillId="2" borderId="0" xfId="1" applyFont="1" applyFill="1" applyBorder="1" applyAlignment="1">
      <alignment horizontal="center" vertical="center"/>
    </xf>
    <xf numFmtId="43" fontId="7" fillId="2" borderId="0" xfId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43" fontId="16" fillId="2" borderId="0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3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3" fontId="4" fillId="2" borderId="2" xfId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vertical="center"/>
    </xf>
    <xf numFmtId="43" fontId="4" fillId="2" borderId="2" xfId="0" applyNumberFormat="1" applyFont="1" applyFill="1" applyBorder="1" applyAlignment="1">
      <alignment vertical="center"/>
    </xf>
    <xf numFmtId="43" fontId="4" fillId="2" borderId="1" xfId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3" fontId="4" fillId="2" borderId="10" xfId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3" fontId="7" fillId="0" borderId="0" xfId="1" applyFont="1" applyFill="1" applyBorder="1" applyAlignment="1">
      <alignment vertical="center"/>
    </xf>
    <xf numFmtId="43" fontId="4" fillId="0" borderId="26" xfId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left" vertical="center"/>
    </xf>
    <xf numFmtId="43" fontId="4" fillId="0" borderId="2" xfId="1" applyFont="1" applyFill="1" applyBorder="1" applyAlignment="1">
      <alignment horizontal="left" vertical="center"/>
    </xf>
    <xf numFmtId="43" fontId="4" fillId="2" borderId="2" xfId="1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43" fontId="4" fillId="2" borderId="0" xfId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43" fontId="4" fillId="0" borderId="0" xfId="1" applyFont="1" applyFill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2" borderId="1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vertical="center"/>
    </xf>
    <xf numFmtId="43" fontId="10" fillId="0" borderId="1" xfId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left" vertical="center" wrapText="1"/>
    </xf>
    <xf numFmtId="43" fontId="7" fillId="0" borderId="16" xfId="1" applyFont="1" applyFill="1" applyBorder="1" applyAlignment="1">
      <alignment vertical="center"/>
    </xf>
    <xf numFmtId="43" fontId="7" fillId="2" borderId="16" xfId="1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vertical="center"/>
    </xf>
    <xf numFmtId="43" fontId="7" fillId="2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43" fontId="7" fillId="3" borderId="6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3" fontId="4" fillId="2" borderId="0" xfId="0" applyNumberFormat="1" applyFont="1" applyFill="1" applyAlignment="1">
      <alignment vertical="center"/>
    </xf>
    <xf numFmtId="43" fontId="4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43" fontId="16" fillId="2" borderId="2" xfId="1" applyFont="1" applyFill="1" applyBorder="1" applyAlignment="1">
      <alignment vertical="center"/>
    </xf>
    <xf numFmtId="43" fontId="16" fillId="2" borderId="1" xfId="1" applyFont="1" applyFill="1" applyBorder="1" applyAlignment="1">
      <alignment vertical="center"/>
    </xf>
    <xf numFmtId="43" fontId="16" fillId="2" borderId="2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43" fontId="16" fillId="0" borderId="0" xfId="1" applyFont="1" applyFill="1" applyBorder="1" applyAlignment="1">
      <alignment vertical="center"/>
    </xf>
    <xf numFmtId="0" fontId="16" fillId="2" borderId="2" xfId="0" applyFont="1" applyFill="1" applyBorder="1" applyAlignment="1">
      <alignment horizontal="left" vertical="center" wrapText="1"/>
    </xf>
    <xf numFmtId="43" fontId="16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43" fontId="17" fillId="4" borderId="1" xfId="1" applyFont="1" applyFill="1" applyBorder="1" applyAlignment="1">
      <alignment vertical="center"/>
    </xf>
    <xf numFmtId="43" fontId="17" fillId="2" borderId="0" xfId="1" applyFont="1" applyFill="1" applyBorder="1" applyAlignment="1">
      <alignment vertical="center"/>
    </xf>
    <xf numFmtId="43" fontId="16" fillId="2" borderId="0" xfId="1" applyFont="1" applyFill="1" applyBorder="1" applyAlignment="1">
      <alignment horizontal="center" vertical="center"/>
    </xf>
    <xf numFmtId="165" fontId="13" fillId="2" borderId="0" xfId="0" applyNumberFormat="1" applyFont="1" applyFill="1" applyAlignment="1">
      <alignment horizontal="left" vertical="center" wrapText="1"/>
    </xf>
    <xf numFmtId="0" fontId="15" fillId="2" borderId="4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center"/>
    </xf>
    <xf numFmtId="165" fontId="13" fillId="2" borderId="1" xfId="0" applyNumberFormat="1" applyFont="1" applyFill="1" applyBorder="1" applyAlignment="1">
      <alignment horizontal="left" vertical="center" wrapText="1"/>
    </xf>
    <xf numFmtId="43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2" borderId="10" xfId="0" applyFont="1" applyFill="1" applyBorder="1" applyAlignment="1">
      <alignment vertical="center"/>
    </xf>
    <xf numFmtId="43" fontId="16" fillId="2" borderId="0" xfId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43" fontId="17" fillId="0" borderId="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165" fontId="13" fillId="0" borderId="2" xfId="0" applyNumberFormat="1" applyFont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165" fontId="13" fillId="0" borderId="1" xfId="0" applyNumberFormat="1" applyFont="1" applyBorder="1" applyAlignment="1">
      <alignment horizontal="left" vertical="center" wrapText="1"/>
    </xf>
    <xf numFmtId="0" fontId="15" fillId="2" borderId="5" xfId="0" applyFont="1" applyFill="1" applyBorder="1" applyAlignment="1">
      <alignment vertical="center" wrapText="1"/>
    </xf>
    <xf numFmtId="43" fontId="16" fillId="0" borderId="0" xfId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43" fontId="18" fillId="2" borderId="1" xfId="1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43" fontId="15" fillId="2" borderId="0" xfId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left" vertical="center"/>
    </xf>
    <xf numFmtId="43" fontId="16" fillId="2" borderId="12" xfId="1" applyFont="1" applyFill="1" applyBorder="1" applyAlignment="1">
      <alignment vertical="center"/>
    </xf>
    <xf numFmtId="43" fontId="16" fillId="0" borderId="12" xfId="1" applyFont="1" applyFill="1" applyBorder="1" applyAlignment="1">
      <alignment vertical="center"/>
    </xf>
    <xf numFmtId="43" fontId="16" fillId="0" borderId="0" xfId="0" applyNumberFormat="1" applyFont="1" applyAlignment="1">
      <alignment vertical="center"/>
    </xf>
    <xf numFmtId="0" fontId="15" fillId="2" borderId="14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43" fontId="17" fillId="2" borderId="0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165" fontId="12" fillId="2" borderId="0" xfId="0" applyNumberFormat="1" applyFont="1" applyFill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43" fontId="16" fillId="2" borderId="1" xfId="1" applyFont="1" applyFill="1" applyBorder="1" applyAlignment="1">
      <alignment horizontal="center" vertical="center"/>
    </xf>
    <xf numFmtId="43" fontId="17" fillId="0" borderId="0" xfId="1" applyFont="1" applyFill="1" applyBorder="1" applyAlignment="1">
      <alignment horizontal="left" vertical="center"/>
    </xf>
    <xf numFmtId="43" fontId="16" fillId="0" borderId="0" xfId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43" fontId="17" fillId="3" borderId="6" xfId="0" applyNumberFormat="1" applyFont="1" applyFill="1" applyBorder="1" applyAlignment="1">
      <alignment vertical="center"/>
    </xf>
    <xf numFmtId="43" fontId="16" fillId="2" borderId="0" xfId="0" applyNumberFormat="1" applyFont="1" applyFill="1" applyAlignment="1">
      <alignment vertical="center"/>
    </xf>
    <xf numFmtId="0" fontId="16" fillId="0" borderId="11" xfId="0" applyFont="1" applyBorder="1" applyAlignment="1">
      <alignment horizontal="left" vertical="center" wrapText="1"/>
    </xf>
    <xf numFmtId="43" fontId="4" fillId="0" borderId="2" xfId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43" fontId="16" fillId="0" borderId="2" xfId="1" applyFont="1" applyFill="1" applyBorder="1" applyAlignment="1">
      <alignment wrapText="1"/>
    </xf>
    <xf numFmtId="4" fontId="16" fillId="2" borderId="0" xfId="0" applyNumberFormat="1" applyFont="1" applyFill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43" fontId="4" fillId="2" borderId="28" xfId="1" applyFont="1" applyFill="1" applyBorder="1" applyAlignment="1">
      <alignment horizontal="center" vertical="center"/>
    </xf>
    <xf numFmtId="43" fontId="4" fillId="2" borderId="27" xfId="1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wrapText="1"/>
    </xf>
    <xf numFmtId="43" fontId="0" fillId="0" borderId="0" xfId="0" applyNumberFormat="1"/>
    <xf numFmtId="43" fontId="0" fillId="0" borderId="0" xfId="31" applyFont="1"/>
    <xf numFmtId="0" fontId="4" fillId="2" borderId="32" xfId="0" applyFont="1" applyFill="1" applyBorder="1" applyAlignment="1">
      <alignment horizontal="center" vertical="center"/>
    </xf>
    <xf numFmtId="43" fontId="6" fillId="3" borderId="6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 wrapText="1"/>
    </xf>
    <xf numFmtId="43" fontId="4" fillId="2" borderId="29" xfId="1" applyFont="1" applyFill="1" applyBorder="1" applyAlignment="1">
      <alignment horizontal="center" vertical="center"/>
    </xf>
    <xf numFmtId="43" fontId="4" fillId="2" borderId="30" xfId="1" applyFont="1" applyFill="1" applyBorder="1" applyAlignment="1">
      <alignment horizontal="center" vertical="center"/>
    </xf>
    <xf numFmtId="43" fontId="4" fillId="2" borderId="10" xfId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left" vertical="center" wrapText="1"/>
    </xf>
    <xf numFmtId="43" fontId="4" fillId="2" borderId="2" xfId="0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 wrapText="1"/>
    </xf>
    <xf numFmtId="43" fontId="16" fillId="2" borderId="0" xfId="1" applyFont="1" applyFill="1" applyBorder="1" applyAlignment="1">
      <alignment horizontal="left" wrapText="1"/>
    </xf>
    <xf numFmtId="43" fontId="4" fillId="2" borderId="1" xfId="1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left" vertical="center" wrapText="1"/>
    </xf>
    <xf numFmtId="43" fontId="4" fillId="2" borderId="0" xfId="31" applyFont="1" applyFill="1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43" fontId="16" fillId="2" borderId="0" xfId="31" applyFont="1" applyFill="1" applyAlignment="1">
      <alignment vertical="center"/>
    </xf>
    <xf numFmtId="0" fontId="12" fillId="0" borderId="0" xfId="0" applyFont="1" applyAlignment="1">
      <alignment vertical="center"/>
    </xf>
    <xf numFmtId="43" fontId="24" fillId="2" borderId="2" xfId="1" applyFont="1" applyFill="1" applyBorder="1" applyAlignment="1">
      <alignment vertical="center"/>
    </xf>
    <xf numFmtId="0" fontId="7" fillId="2" borderId="0" xfId="0" applyFont="1" applyFill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43" fontId="4" fillId="0" borderId="0" xfId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65" fontId="9" fillId="0" borderId="0" xfId="0" applyNumberFormat="1" applyFont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43" fontId="7" fillId="0" borderId="3" xfId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16" fillId="5" borderId="0" xfId="1" applyFont="1" applyFill="1" applyBorder="1" applyAlignment="1">
      <alignment vertical="center"/>
    </xf>
    <xf numFmtId="43" fontId="17" fillId="5" borderId="0" xfId="1" applyFont="1" applyFill="1" applyBorder="1" applyAlignment="1">
      <alignment vertical="center"/>
    </xf>
    <xf numFmtId="0" fontId="14" fillId="5" borderId="0" xfId="0" applyFont="1" applyFill="1" applyAlignment="1">
      <alignment vertical="center"/>
    </xf>
    <xf numFmtId="43" fontId="16" fillId="5" borderId="0" xfId="1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43" fontId="4" fillId="5" borderId="0" xfId="1" applyFont="1" applyFill="1" applyBorder="1" applyAlignment="1">
      <alignment vertical="center"/>
    </xf>
    <xf numFmtId="43" fontId="7" fillId="5" borderId="0" xfId="1" applyFont="1" applyFill="1" applyBorder="1" applyAlignment="1">
      <alignment vertical="center"/>
    </xf>
    <xf numFmtId="43" fontId="7" fillId="6" borderId="0" xfId="1" applyFont="1" applyFill="1" applyBorder="1" applyAlignment="1">
      <alignment vertical="center"/>
    </xf>
    <xf numFmtId="43" fontId="4" fillId="5" borderId="0" xfId="1" applyFont="1" applyFill="1" applyBorder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5" fillId="2" borderId="4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23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</cellXfs>
  <cellStyles count="32">
    <cellStyle name="Millares" xfId="31" builtinId="3"/>
    <cellStyle name="Millares 10" xfId="28" xr:uid="{A1812EB1-099C-489F-BD4B-9331174850D3}"/>
    <cellStyle name="Millares 11" xfId="30" xr:uid="{88F5A490-33E3-4A80-AE0D-3501E7C5C4BB}"/>
    <cellStyle name="Millares 2" xfId="1" xr:uid="{00000000-0005-0000-0000-000000000000}"/>
    <cellStyle name="Millares 3" xfId="11" xr:uid="{1BDAD391-44FC-4964-B27B-A5515593D34A}"/>
    <cellStyle name="Millares 4" xfId="8" xr:uid="{5A81BC19-F01F-445B-B575-807984D75921}"/>
    <cellStyle name="Millares 5" xfId="13" xr:uid="{16FC1B75-CD4C-490E-84A7-8342D2158C6F}"/>
    <cellStyle name="Millares 5 2" xfId="16" xr:uid="{2F73F8E3-B082-4DA0-8FA3-B55F13BB6471}"/>
    <cellStyle name="Millares 6" xfId="19" xr:uid="{1116D646-CFE8-4986-BBFE-64E57CB9F20E}"/>
    <cellStyle name="Millares 7" xfId="21" xr:uid="{20837FE3-AA14-4EA1-ACD4-34B18081A379}"/>
    <cellStyle name="Millares 8" xfId="24" xr:uid="{429BCF8A-9451-4AC4-BEE5-9B79D326D47F}"/>
    <cellStyle name="Millares 9" xfId="26" xr:uid="{E3F93CF0-C688-4E40-91CC-7CEAB7D6212E}"/>
    <cellStyle name="Normal" xfId="0" builtinId="0"/>
    <cellStyle name="Normal 10" xfId="25" xr:uid="{A986ACD0-4919-4E76-B287-9DC1636B4AC6}"/>
    <cellStyle name="Normal 11" xfId="27" xr:uid="{A0A5454F-E5B6-4470-A4BE-66E01B2937CC}"/>
    <cellStyle name="Normal 12" xfId="29" xr:uid="{46109871-8CB9-4BCE-B093-BBF2C9065398}"/>
    <cellStyle name="Normal 2" xfId="2" xr:uid="{00000000-0005-0000-0000-000002000000}"/>
    <cellStyle name="Normal 2 2" xfId="5" xr:uid="{355A2DC8-FDAF-475D-A151-371C4C35D1FE}"/>
    <cellStyle name="Normal 2 2 2" xfId="7" xr:uid="{3F33EDD5-9E72-45A2-A7F5-1036D312FACB}"/>
    <cellStyle name="Normal 2 3" xfId="6" xr:uid="{21AB0A06-95D1-48DC-BF56-46F9FE9D9067}"/>
    <cellStyle name="Normal 2 4" xfId="3" xr:uid="{49F575B4-BF73-497E-8529-01B56A6E4F85}"/>
    <cellStyle name="Normal 2 5" xfId="4" xr:uid="{2BA7B32C-4C0B-406E-99D7-EAFD96E51590}"/>
    <cellStyle name="Normal 3" xfId="10" xr:uid="{07DED5AB-F986-4854-8208-5CC92AA045D4}"/>
    <cellStyle name="Normal 3 2" xfId="14" xr:uid="{84117EFB-0886-44B8-803E-3CD6EDB11B62}"/>
    <cellStyle name="Normal 3 2 2" xfId="17" xr:uid="{23DBD80E-92B1-412B-BE6E-EBCDCFBEA908}"/>
    <cellStyle name="Normal 4" xfId="9" xr:uid="{5C654990-97D3-452C-BBCA-23C67D22AAA4}"/>
    <cellStyle name="Normal 5" xfId="12" xr:uid="{3417A255-E8DE-41D2-B6BB-61E050158AC4}"/>
    <cellStyle name="Normal 5 2" xfId="15" xr:uid="{1B339846-3A99-4CD1-9CFC-5B7BCE2D483C}"/>
    <cellStyle name="Normal 6" xfId="18" xr:uid="{8156C610-5D69-4FDE-BF57-2C0AD3398769}"/>
    <cellStyle name="Normal 7" xfId="20" xr:uid="{663E8CD3-97DD-4DD2-B2A4-58CB9167116C}"/>
    <cellStyle name="Normal 8" xfId="22" xr:uid="{72E57060-E750-4048-859E-9FF84F3029A5}"/>
    <cellStyle name="Normal 9" xfId="23" xr:uid="{D9CDADF9-F41E-4735-915D-72B12F08C5A6}"/>
  </cellStyles>
  <dxfs count="0"/>
  <tableStyles count="2" defaultTableStyle="TableStyleMedium2" defaultPivotStyle="PivotStyleLight16">
    <tableStyle name="Estilo de tabla 1" pivot="0" count="0" xr9:uid="{031CC914-DB70-4736-842E-A824026707CB}"/>
    <tableStyle name="Invisible" pivot="0" table="0" count="0" xr9:uid="{575D3386-A191-41BB-9C46-E5CD18BD08C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727058</xdr:colOff>
      <xdr:row>0</xdr:row>
      <xdr:rowOff>0</xdr:rowOff>
    </xdr:from>
    <xdr:to>
      <xdr:col>1</xdr:col>
      <xdr:colOff>2416084</xdr:colOff>
      <xdr:row>3</xdr:row>
      <xdr:rowOff>115055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9701" y="0"/>
          <a:ext cx="1681406" cy="1067555"/>
        </a:xfrm>
        <a:prstGeom prst="rect">
          <a:avLst/>
        </a:prstGeom>
      </xdr:spPr>
    </xdr:pic>
    <xdr:clientData/>
  </xdr:twoCellAnchor>
  <xdr:twoCellAnchor editAs="oneCell">
    <xdr:from>
      <xdr:col>3</xdr:col>
      <xdr:colOff>602115</xdr:colOff>
      <xdr:row>345</xdr:row>
      <xdr:rowOff>139472</xdr:rowOff>
    </xdr:from>
    <xdr:to>
      <xdr:col>3</xdr:col>
      <xdr:colOff>2002793</xdr:colOff>
      <xdr:row>348</xdr:row>
      <xdr:rowOff>248013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1F6AB6-596F-5D7F-5F66-78F413CFA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2115" y="167779472"/>
          <a:ext cx="1408298" cy="13810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714899</xdr:colOff>
      <xdr:row>0</xdr:row>
      <xdr:rowOff>362160</xdr:rowOff>
    </xdr:from>
    <xdr:to>
      <xdr:col>2</xdr:col>
      <xdr:colOff>60880</xdr:colOff>
      <xdr:row>3</xdr:row>
      <xdr:rowOff>173316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328" y="362160"/>
          <a:ext cx="1937053" cy="1022192"/>
        </a:xfrm>
        <a:prstGeom prst="rect">
          <a:avLst/>
        </a:prstGeom>
      </xdr:spPr>
    </xdr:pic>
    <xdr:clientData/>
  </xdr:twoCellAnchor>
  <xdr:twoCellAnchor editAs="oneCell">
    <xdr:from>
      <xdr:col>3</xdr:col>
      <xdr:colOff>883467</xdr:colOff>
      <xdr:row>274</xdr:row>
      <xdr:rowOff>265248</xdr:rowOff>
    </xdr:from>
    <xdr:to>
      <xdr:col>3</xdr:col>
      <xdr:colOff>2291319</xdr:colOff>
      <xdr:row>277</xdr:row>
      <xdr:rowOff>165056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11D36D-35C8-0EE0-0C10-FDD7A9F1B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8717" y="135767898"/>
          <a:ext cx="1405451" cy="14142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316442</xdr:colOff>
      <xdr:row>0</xdr:row>
      <xdr:rowOff>0</xdr:rowOff>
    </xdr:from>
    <xdr:to>
      <xdr:col>2</xdr:col>
      <xdr:colOff>1694775</xdr:colOff>
      <xdr:row>4</xdr:row>
      <xdr:rowOff>153458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FF8435-D002-4DC5-8F87-B78B272B7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442" y="0"/>
          <a:ext cx="1814578" cy="1122891"/>
        </a:xfrm>
        <a:prstGeom prst="rect">
          <a:avLst/>
        </a:prstGeom>
      </xdr:spPr>
    </xdr:pic>
    <xdr:clientData/>
  </xdr:twoCellAnchor>
  <xdr:twoCellAnchor editAs="oneCell">
    <xdr:from>
      <xdr:col>4</xdr:col>
      <xdr:colOff>880269</xdr:colOff>
      <xdr:row>119</xdr:row>
      <xdr:rowOff>42069</xdr:rowOff>
    </xdr:from>
    <xdr:to>
      <xdr:col>4</xdr:col>
      <xdr:colOff>2288567</xdr:colOff>
      <xdr:row>123</xdr:row>
      <xdr:rowOff>230376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C16A0C-87E0-2F61-159E-7032F520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2394" y="36840319"/>
          <a:ext cx="1408298" cy="14424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632990</xdr:colOff>
      <xdr:row>0</xdr:row>
      <xdr:rowOff>0</xdr:rowOff>
    </xdr:from>
    <xdr:to>
      <xdr:col>1</xdr:col>
      <xdr:colOff>2516861</xdr:colOff>
      <xdr:row>4</xdr:row>
      <xdr:rowOff>136617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030" y="152400"/>
          <a:ext cx="1883871" cy="1121661"/>
        </a:xfrm>
        <a:prstGeom prst="rect">
          <a:avLst/>
        </a:prstGeom>
      </xdr:spPr>
    </xdr:pic>
    <xdr:clientData/>
  </xdr:twoCellAnchor>
  <xdr:twoCellAnchor editAs="oneCell">
    <xdr:from>
      <xdr:col>3</xdr:col>
      <xdr:colOff>1125435</xdr:colOff>
      <xdr:row>21</xdr:row>
      <xdr:rowOff>320853</xdr:rowOff>
    </xdr:from>
    <xdr:to>
      <xdr:col>3</xdr:col>
      <xdr:colOff>2529923</xdr:colOff>
      <xdr:row>24</xdr:row>
      <xdr:rowOff>169926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1691F-8734-EE63-A27C-EF4A0CB18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9906" y="8814912"/>
          <a:ext cx="1412108" cy="13694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727058</xdr:colOff>
      <xdr:row>0</xdr:row>
      <xdr:rowOff>0</xdr:rowOff>
    </xdr:from>
    <xdr:to>
      <xdr:col>1</xdr:col>
      <xdr:colOff>2412274</xdr:colOff>
      <xdr:row>3</xdr:row>
      <xdr:rowOff>115055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E45BB5-EC66-4B97-A9E5-F57F770C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683" y="0"/>
          <a:ext cx="1685216" cy="1058030"/>
        </a:xfrm>
        <a:prstGeom prst="rect">
          <a:avLst/>
        </a:prstGeom>
      </xdr:spPr>
    </xdr:pic>
    <xdr:clientData/>
  </xdr:twoCellAnchor>
  <xdr:twoCellAnchor editAs="oneCell">
    <xdr:from>
      <xdr:col>3</xdr:col>
      <xdr:colOff>1091972</xdr:colOff>
      <xdr:row>10</xdr:row>
      <xdr:rowOff>85043</xdr:rowOff>
    </xdr:from>
    <xdr:to>
      <xdr:col>3</xdr:col>
      <xdr:colOff>2496460</xdr:colOff>
      <xdr:row>13</xdr:row>
      <xdr:rowOff>184061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65DBF6-E75F-4626-8E8D-5725FF305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8365" y="4235222"/>
          <a:ext cx="1404488" cy="1405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000185"/>
  <sheetViews>
    <sheetView showGridLines="0" zoomScale="72" zoomScaleNormal="72" zoomScaleSheetLayoutView="55" workbookViewId="0">
      <pane xSplit="4" ySplit="3" topLeftCell="E341" activePane="bottomRight" state="frozen"/>
      <selection pane="topRight" activeCell="E1" sqref="E1"/>
      <selection pane="bottomLeft" activeCell="A4" sqref="A4"/>
      <selection pane="bottomRight" activeCell="E348" sqref="E348:F348"/>
    </sheetView>
  </sheetViews>
  <sheetFormatPr baseColWidth="10" defaultColWidth="11.42578125" defaultRowHeight="35.1" customHeight="1" x14ac:dyDescent="0.2"/>
  <cols>
    <col min="1" max="1" width="7.140625" style="113" customWidth="1"/>
    <col min="2" max="2" width="41.140625" style="144" customWidth="1"/>
    <col min="3" max="3" width="9.140625" style="113" customWidth="1"/>
    <col min="4" max="4" width="32.28515625" style="144" customWidth="1"/>
    <col min="5" max="5" width="29.28515625" style="144" customWidth="1"/>
    <col min="6" max="6" width="21.7109375" style="111" customWidth="1"/>
    <col min="7" max="7" width="20.28515625" style="110" customWidth="1"/>
    <col min="8" max="8" width="24" style="110" customWidth="1"/>
    <col min="9" max="9" width="23.140625" style="110" customWidth="1"/>
    <col min="10" max="10" width="21.5703125" style="110" bestFit="1" customWidth="1"/>
    <col min="11" max="11" width="24" style="110" customWidth="1"/>
    <col min="12" max="12" width="22.28515625" style="110" customWidth="1"/>
    <col min="13" max="13" width="19" style="110" customWidth="1"/>
    <col min="14" max="15" width="22.85546875" style="110" customWidth="1"/>
    <col min="16" max="16384" width="11.42578125" style="110"/>
  </cols>
  <sheetData>
    <row r="1" spans="1:48" ht="26.25" customHeight="1" x14ac:dyDescent="0.2">
      <c r="A1" s="358" t="s">
        <v>324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</row>
    <row r="2" spans="1:48" ht="26.25" customHeight="1" x14ac:dyDescent="0.2">
      <c r="A2" s="359" t="s">
        <v>328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48" ht="21.75" customHeight="1" x14ac:dyDescent="0.2">
      <c r="A3" s="360" t="s">
        <v>661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</row>
    <row r="4" spans="1:48" ht="35.1" customHeight="1" thickBot="1" x14ac:dyDescent="0.25">
      <c r="A4" s="138"/>
      <c r="B4" s="138"/>
      <c r="C4" s="106"/>
      <c r="D4" s="143"/>
      <c r="E4" s="143"/>
      <c r="F4" s="106"/>
    </row>
    <row r="5" spans="1:48" ht="35.1" customHeight="1" thickBot="1" x14ac:dyDescent="0.25">
      <c r="A5" s="204" t="s">
        <v>429</v>
      </c>
      <c r="B5" s="205"/>
      <c r="C5" s="204"/>
      <c r="D5" s="205"/>
      <c r="E5" s="205"/>
      <c r="F5" s="206"/>
      <c r="G5" s="361" t="s">
        <v>95</v>
      </c>
      <c r="H5" s="362"/>
      <c r="I5" s="362"/>
      <c r="J5" s="363"/>
      <c r="K5" s="95"/>
      <c r="L5" s="149"/>
      <c r="M5" s="149"/>
      <c r="N5" s="149"/>
      <c r="O5" s="149"/>
    </row>
    <row r="6" spans="1:48" s="207" customFormat="1" ht="35.1" customHeight="1" thickBot="1" x14ac:dyDescent="0.25">
      <c r="A6" s="19" t="s">
        <v>0</v>
      </c>
      <c r="B6" s="19" t="s">
        <v>292</v>
      </c>
      <c r="C6" s="19" t="s">
        <v>336</v>
      </c>
      <c r="D6" s="19" t="s">
        <v>348</v>
      </c>
      <c r="E6" s="19" t="s">
        <v>89</v>
      </c>
      <c r="F6" s="77" t="s">
        <v>98</v>
      </c>
      <c r="G6" s="78" t="s">
        <v>1</v>
      </c>
      <c r="H6" s="79" t="s">
        <v>2</v>
      </c>
      <c r="I6" s="82" t="s">
        <v>434</v>
      </c>
      <c r="J6" s="83" t="s">
        <v>435</v>
      </c>
      <c r="K6" s="80" t="s">
        <v>436</v>
      </c>
      <c r="L6" s="21" t="s">
        <v>90</v>
      </c>
      <c r="M6" s="21" t="s">
        <v>92</v>
      </c>
      <c r="N6" s="21" t="s">
        <v>3</v>
      </c>
      <c r="O6" s="21" t="s">
        <v>91</v>
      </c>
    </row>
    <row r="7" spans="1:48" s="205" customFormat="1" ht="35.1" customHeight="1" thickBot="1" x14ac:dyDescent="0.25">
      <c r="A7" s="208" t="s">
        <v>198</v>
      </c>
      <c r="B7" s="209"/>
      <c r="C7" s="209"/>
      <c r="D7" s="209"/>
      <c r="E7" s="209"/>
      <c r="F7" s="209"/>
      <c r="G7" s="210"/>
      <c r="H7" s="210"/>
      <c r="I7" s="210"/>
      <c r="J7" s="210"/>
      <c r="K7" s="209"/>
      <c r="L7" s="209"/>
      <c r="M7" s="209"/>
      <c r="N7" s="209"/>
      <c r="O7" s="211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</row>
    <row r="8" spans="1:48" s="218" customFormat="1" ht="35.1" customHeight="1" x14ac:dyDescent="0.2">
      <c r="A8" s="213">
        <v>1</v>
      </c>
      <c r="B8" s="214" t="s">
        <v>197</v>
      </c>
      <c r="C8" s="213" t="s">
        <v>334</v>
      </c>
      <c r="D8" s="214" t="s">
        <v>193</v>
      </c>
      <c r="E8" s="88" t="s">
        <v>349</v>
      </c>
      <c r="F8" s="215">
        <v>245000</v>
      </c>
      <c r="G8" s="215">
        <f t="shared" ref="G8:G16" si="0">F8*2.87%</f>
        <v>7031.5</v>
      </c>
      <c r="H8" s="216">
        <v>7059.7920000000004</v>
      </c>
      <c r="I8" s="215">
        <v>1919.78</v>
      </c>
      <c r="J8" s="215">
        <f t="shared" ref="J8:J16" si="1">+G8+H8+I8</f>
        <v>16011.072000000002</v>
      </c>
      <c r="K8" s="215">
        <f t="shared" ref="K8:K16" si="2">+F8-J8</f>
        <v>228988.92799999999</v>
      </c>
      <c r="L8" s="215">
        <f>+IF(K8*12&lt;=416220.01,0,IF(K8*12&lt;=624329.01,(((K8*12-416220.01)*0.15)/12),IF((K8*12&lt;=867123.01),(31216+0.2*(K8*12-624329.01))/12,((79776+0.25*(K8*12-867123.01))/12))))</f>
        <v>45830.169291666673</v>
      </c>
      <c r="M8" s="217">
        <v>25</v>
      </c>
      <c r="N8" s="215">
        <f t="shared" ref="N8:N16" si="3">+M8+I8+H8+G8+L8</f>
        <v>61866.241291666673</v>
      </c>
      <c r="O8" s="217">
        <f t="shared" ref="O8:O16" si="4">+F8-N8</f>
        <v>183133.75870833333</v>
      </c>
    </row>
    <row r="9" spans="1:48" s="219" customFormat="1" ht="35.1" customHeight="1" x14ac:dyDescent="0.2">
      <c r="A9" s="73">
        <v>2</v>
      </c>
      <c r="B9" s="72" t="s">
        <v>194</v>
      </c>
      <c r="C9" s="73" t="s">
        <v>335</v>
      </c>
      <c r="D9" s="72" t="s">
        <v>81</v>
      </c>
      <c r="E9" s="88" t="s">
        <v>511</v>
      </c>
      <c r="F9" s="216">
        <v>140000</v>
      </c>
      <c r="G9" s="216">
        <f t="shared" si="0"/>
        <v>4018</v>
      </c>
      <c r="H9" s="216">
        <f t="shared" ref="H9:H16" si="5">+F9*3.04%</f>
        <v>4256</v>
      </c>
      <c r="I9" s="215">
        <v>1919.78</v>
      </c>
      <c r="J9" s="215">
        <f t="shared" si="1"/>
        <v>10193.780000000001</v>
      </c>
      <c r="K9" s="215">
        <f>+F9-J9</f>
        <v>129806.22</v>
      </c>
      <c r="L9" s="215">
        <f t="shared" ref="L9:L15" si="6">+IF(K9*12&lt;=416220.01,0,IF(K9*12&lt;=624329.01,(((K9*12-416220.01)*0.15)/12),IF((K9*12&lt;=867123.01),(31216+0.2*(K9*12-624329.01))/12,((79776+0.25*(K9*12-867123.01))/12))))</f>
        <v>21034.492291666669</v>
      </c>
      <c r="M9" s="221">
        <v>225</v>
      </c>
      <c r="N9" s="215">
        <f t="shared" si="3"/>
        <v>31453.272291666668</v>
      </c>
      <c r="O9" s="217">
        <f t="shared" si="4"/>
        <v>108546.72770833333</v>
      </c>
    </row>
    <row r="10" spans="1:48" s="219" customFormat="1" ht="35.1" customHeight="1" x14ac:dyDescent="0.2">
      <c r="A10" s="73">
        <v>3</v>
      </c>
      <c r="B10" s="214" t="s">
        <v>474</v>
      </c>
      <c r="C10" s="213" t="s">
        <v>335</v>
      </c>
      <c r="D10" s="220" t="s">
        <v>607</v>
      </c>
      <c r="E10" s="72" t="s">
        <v>511</v>
      </c>
      <c r="F10" s="215">
        <v>50000</v>
      </c>
      <c r="G10" s="215">
        <f>F10*2.87%</f>
        <v>1435</v>
      </c>
      <c r="H10" s="215">
        <f>+F10*3.04%</f>
        <v>1520</v>
      </c>
      <c r="I10" s="215"/>
      <c r="J10" s="215">
        <f>+G10+H10+I10</f>
        <v>2955</v>
      </c>
      <c r="K10" s="215">
        <f>+F10-J10</f>
        <v>47045</v>
      </c>
      <c r="L10" s="215">
        <f t="shared" si="6"/>
        <v>1853.9998749999997</v>
      </c>
      <c r="M10" s="221">
        <v>225</v>
      </c>
      <c r="N10" s="215">
        <f t="shared" si="3"/>
        <v>5033.9998749999995</v>
      </c>
      <c r="O10" s="217">
        <f t="shared" si="4"/>
        <v>44966.000124999999</v>
      </c>
    </row>
    <row r="11" spans="1:48" s="219" customFormat="1" ht="35.1" customHeight="1" x14ac:dyDescent="0.2">
      <c r="A11" s="213">
        <f>+A10+1</f>
        <v>4</v>
      </c>
      <c r="B11" s="214" t="s">
        <v>195</v>
      </c>
      <c r="C11" s="213" t="s">
        <v>335</v>
      </c>
      <c r="D11" s="220" t="s">
        <v>66</v>
      </c>
      <c r="E11" s="72" t="s">
        <v>97</v>
      </c>
      <c r="F11" s="215">
        <v>41500</v>
      </c>
      <c r="G11" s="215">
        <f t="shared" si="0"/>
        <v>1191.05</v>
      </c>
      <c r="H11" s="215">
        <f t="shared" si="5"/>
        <v>1261.5999999999999</v>
      </c>
      <c r="I11" s="215"/>
      <c r="J11" s="215">
        <f t="shared" si="1"/>
        <v>2452.6499999999996</v>
      </c>
      <c r="K11" s="215">
        <f t="shared" si="2"/>
        <v>39047.35</v>
      </c>
      <c r="L11" s="215">
        <v>0</v>
      </c>
      <c r="M11" s="221">
        <v>5351.9</v>
      </c>
      <c r="N11" s="215">
        <f t="shared" si="3"/>
        <v>7804.55</v>
      </c>
      <c r="O11" s="217">
        <f t="shared" si="4"/>
        <v>33695.449999999997</v>
      </c>
    </row>
    <row r="12" spans="1:48" s="219" customFormat="1" ht="35.1" customHeight="1" x14ac:dyDescent="0.2">
      <c r="A12" s="73">
        <v>5</v>
      </c>
      <c r="B12" s="214" t="s">
        <v>196</v>
      </c>
      <c r="C12" s="213" t="s">
        <v>335</v>
      </c>
      <c r="D12" s="220" t="s">
        <v>66</v>
      </c>
      <c r="E12" s="72" t="s">
        <v>97</v>
      </c>
      <c r="F12" s="215">
        <v>41500</v>
      </c>
      <c r="G12" s="215">
        <f t="shared" si="0"/>
        <v>1191.05</v>
      </c>
      <c r="H12" s="215">
        <f t="shared" si="5"/>
        <v>1261.5999999999999</v>
      </c>
      <c r="I12" s="215"/>
      <c r="J12" s="215">
        <f t="shared" si="1"/>
        <v>2452.6499999999996</v>
      </c>
      <c r="K12" s="215">
        <f t="shared" si="2"/>
        <v>39047.35</v>
      </c>
      <c r="L12" s="215">
        <v>0</v>
      </c>
      <c r="M12" s="221">
        <v>14637.3</v>
      </c>
      <c r="N12" s="215">
        <f t="shared" si="3"/>
        <v>17089.95</v>
      </c>
      <c r="O12" s="217">
        <f t="shared" si="4"/>
        <v>24410.05</v>
      </c>
    </row>
    <row r="13" spans="1:48" s="219" customFormat="1" ht="35.1" customHeight="1" x14ac:dyDescent="0.2">
      <c r="A13" s="213">
        <f t="shared" ref="A13:A15" si="7">+A12+1</f>
        <v>6</v>
      </c>
      <c r="B13" s="214" t="s">
        <v>439</v>
      </c>
      <c r="C13" s="213" t="s">
        <v>335</v>
      </c>
      <c r="D13" s="220" t="s">
        <v>66</v>
      </c>
      <c r="E13" s="72" t="s">
        <v>96</v>
      </c>
      <c r="F13" s="215">
        <v>41500</v>
      </c>
      <c r="G13" s="215">
        <f t="shared" si="0"/>
        <v>1191.05</v>
      </c>
      <c r="H13" s="215">
        <f t="shared" si="5"/>
        <v>1261.5999999999999</v>
      </c>
      <c r="I13" s="215"/>
      <c r="J13" s="215">
        <f t="shared" si="1"/>
        <v>2452.6499999999996</v>
      </c>
      <c r="K13" s="215">
        <f t="shared" si="2"/>
        <v>39047.35</v>
      </c>
      <c r="L13" s="215">
        <f t="shared" si="6"/>
        <v>654.35237499999926</v>
      </c>
      <c r="M13" s="221">
        <v>3290.29</v>
      </c>
      <c r="N13" s="215">
        <f t="shared" si="3"/>
        <v>6397.2923749999991</v>
      </c>
      <c r="O13" s="217">
        <f t="shared" si="4"/>
        <v>35102.707625000003</v>
      </c>
    </row>
    <row r="14" spans="1:48" s="219" customFormat="1" ht="35.1" customHeight="1" x14ac:dyDescent="0.2">
      <c r="A14" s="213">
        <f t="shared" si="7"/>
        <v>7</v>
      </c>
      <c r="B14" s="214" t="s">
        <v>176</v>
      </c>
      <c r="C14" s="213" t="s">
        <v>335</v>
      </c>
      <c r="D14" s="220" t="s">
        <v>66</v>
      </c>
      <c r="E14" s="72" t="s">
        <v>96</v>
      </c>
      <c r="F14" s="215">
        <v>38000</v>
      </c>
      <c r="G14" s="215">
        <f t="shared" si="0"/>
        <v>1090.5999999999999</v>
      </c>
      <c r="H14" s="215">
        <f t="shared" si="5"/>
        <v>1155.2</v>
      </c>
      <c r="I14" s="215"/>
      <c r="J14" s="215">
        <f t="shared" si="1"/>
        <v>2245.8000000000002</v>
      </c>
      <c r="K14" s="215">
        <f t="shared" si="2"/>
        <v>35754.199999999997</v>
      </c>
      <c r="L14" s="215">
        <v>0</v>
      </c>
      <c r="M14" s="221">
        <v>11036.03</v>
      </c>
      <c r="N14" s="215">
        <f t="shared" si="3"/>
        <v>13281.830000000002</v>
      </c>
      <c r="O14" s="217">
        <f t="shared" si="4"/>
        <v>24718.17</v>
      </c>
    </row>
    <row r="15" spans="1:48" s="219" customFormat="1" ht="35.1" customHeight="1" x14ac:dyDescent="0.2">
      <c r="A15" s="213">
        <f t="shared" si="7"/>
        <v>8</v>
      </c>
      <c r="B15" s="214" t="s">
        <v>597</v>
      </c>
      <c r="C15" s="213" t="s">
        <v>335</v>
      </c>
      <c r="D15" s="220" t="s">
        <v>66</v>
      </c>
      <c r="E15" s="72" t="s">
        <v>96</v>
      </c>
      <c r="F15" s="215">
        <v>38000</v>
      </c>
      <c r="G15" s="215">
        <f t="shared" si="0"/>
        <v>1090.5999999999999</v>
      </c>
      <c r="H15" s="215">
        <f t="shared" si="5"/>
        <v>1155.2</v>
      </c>
      <c r="I15" s="215"/>
      <c r="J15" s="215">
        <f t="shared" si="1"/>
        <v>2245.8000000000002</v>
      </c>
      <c r="K15" s="215">
        <f t="shared" si="2"/>
        <v>35754.199999999997</v>
      </c>
      <c r="L15" s="215">
        <f t="shared" si="6"/>
        <v>160.37987499999943</v>
      </c>
      <c r="M15" s="221">
        <v>1290.29</v>
      </c>
      <c r="N15" s="215">
        <f t="shared" si="3"/>
        <v>3696.4698749999993</v>
      </c>
      <c r="O15" s="217">
        <f t="shared" si="4"/>
        <v>34303.530124999997</v>
      </c>
    </row>
    <row r="16" spans="1:48" s="219" customFormat="1" ht="35.1" customHeight="1" x14ac:dyDescent="0.2">
      <c r="A16" s="213">
        <f>+A15+1</f>
        <v>9</v>
      </c>
      <c r="B16" s="214" t="s">
        <v>598</v>
      </c>
      <c r="C16" s="213" t="s">
        <v>335</v>
      </c>
      <c r="D16" s="220" t="s">
        <v>66</v>
      </c>
      <c r="E16" s="72" t="s">
        <v>96</v>
      </c>
      <c r="F16" s="215">
        <v>38000</v>
      </c>
      <c r="G16" s="215">
        <f t="shared" si="0"/>
        <v>1090.5999999999999</v>
      </c>
      <c r="H16" s="215">
        <f t="shared" si="5"/>
        <v>1155.2</v>
      </c>
      <c r="I16" s="215"/>
      <c r="J16" s="215">
        <f t="shared" si="1"/>
        <v>2245.8000000000002</v>
      </c>
      <c r="K16" s="215">
        <f t="shared" si="2"/>
        <v>35754.199999999997</v>
      </c>
      <c r="L16" s="215">
        <v>0</v>
      </c>
      <c r="M16" s="221">
        <v>14643.55</v>
      </c>
      <c r="N16" s="215">
        <f t="shared" si="3"/>
        <v>16889.349999999999</v>
      </c>
      <c r="O16" s="217">
        <f t="shared" si="4"/>
        <v>21110.65</v>
      </c>
    </row>
    <row r="17" spans="1:16" s="219" customFormat="1" ht="35.1" customHeight="1" x14ac:dyDescent="0.2">
      <c r="A17" s="223" t="s">
        <v>99</v>
      </c>
      <c r="B17" s="224"/>
      <c r="C17" s="224"/>
      <c r="D17" s="224"/>
      <c r="E17" s="224"/>
      <c r="F17" s="225">
        <f t="shared" ref="F17:O17" si="8">SUM(F8:F16)</f>
        <v>673500</v>
      </c>
      <c r="G17" s="225">
        <f t="shared" si="8"/>
        <v>19329.449999999993</v>
      </c>
      <c r="H17" s="225">
        <f t="shared" si="8"/>
        <v>20086.192000000003</v>
      </c>
      <c r="I17" s="225">
        <f t="shared" si="8"/>
        <v>3839.56</v>
      </c>
      <c r="J17" s="225">
        <f t="shared" si="8"/>
        <v>43255.202000000012</v>
      </c>
      <c r="K17" s="225">
        <f t="shared" si="8"/>
        <v>630244.79799999984</v>
      </c>
      <c r="L17" s="225">
        <f t="shared" si="8"/>
        <v>69533.393708333329</v>
      </c>
      <c r="M17" s="225">
        <f t="shared" si="8"/>
        <v>50724.36</v>
      </c>
      <c r="N17" s="225">
        <f t="shared" si="8"/>
        <v>163512.95570833338</v>
      </c>
      <c r="O17" s="225">
        <f t="shared" si="8"/>
        <v>509987.04429166665</v>
      </c>
      <c r="P17" s="339"/>
    </row>
    <row r="18" spans="1:16" s="219" customFormat="1" ht="35.1" customHeight="1" thickBot="1" x14ac:dyDescent="0.25">
      <c r="A18" s="227"/>
      <c r="B18" s="147"/>
      <c r="C18" s="203"/>
      <c r="D18" s="228"/>
      <c r="E18" s="22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6" s="219" customFormat="1" ht="35.1" customHeight="1" thickBot="1" x14ac:dyDescent="0.25">
      <c r="A19" s="229" t="s">
        <v>122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1"/>
    </row>
    <row r="20" spans="1:16" s="226" customFormat="1" ht="35.1" customHeight="1" x14ac:dyDescent="0.2">
      <c r="A20" s="73">
        <f>+A16+1</f>
        <v>10</v>
      </c>
      <c r="B20" s="214" t="s">
        <v>152</v>
      </c>
      <c r="C20" s="213" t="s">
        <v>335</v>
      </c>
      <c r="D20" s="220" t="s">
        <v>83</v>
      </c>
      <c r="E20" s="72" t="s">
        <v>97</v>
      </c>
      <c r="F20" s="215">
        <v>230000</v>
      </c>
      <c r="G20" s="215">
        <f>F20*2.87%</f>
        <v>6601</v>
      </c>
      <c r="H20" s="215">
        <v>6992</v>
      </c>
      <c r="I20" s="69">
        <v>1919.78</v>
      </c>
      <c r="J20" s="69">
        <f>+G20+H20+I20</f>
        <v>15512.78</v>
      </c>
      <c r="K20" s="69">
        <f>+F20-J20</f>
        <v>214487.22</v>
      </c>
      <c r="L20" s="69">
        <f>+IF(K20*12&lt;=416220.01,0,IF(K20*12&lt;=624329.01,(((K20*12-416220.01)*0.15)/12),IF((K20*12&lt;=867123.01),(31216+0.2*(K20*12-624329.01))/12,((79776+0.25*(K20*12-867123.01))/12))))</f>
        <v>42204.742291666669</v>
      </c>
      <c r="M20" s="221">
        <v>25</v>
      </c>
      <c r="N20" s="215">
        <f>+M20+I20+H20+G20+L20</f>
        <v>57742.522291666668</v>
      </c>
      <c r="O20" s="217">
        <f>+F20-N20</f>
        <v>172257.47770833335</v>
      </c>
    </row>
    <row r="21" spans="1:16" s="206" customFormat="1" ht="35.1" customHeight="1" x14ac:dyDescent="0.2">
      <c r="A21" s="73">
        <f>+A20+1</f>
        <v>11</v>
      </c>
      <c r="B21" s="72" t="s">
        <v>36</v>
      </c>
      <c r="C21" s="73" t="s">
        <v>335</v>
      </c>
      <c r="D21" s="233" t="s">
        <v>558</v>
      </c>
      <c r="E21" s="72" t="s">
        <v>97</v>
      </c>
      <c r="F21" s="216">
        <v>120000</v>
      </c>
      <c r="G21" s="216">
        <f>F21*2.87%</f>
        <v>3444</v>
      </c>
      <c r="H21" s="68">
        <f>+F21*3.04%</f>
        <v>3648</v>
      </c>
      <c r="I21" s="68"/>
      <c r="J21" s="69">
        <f>+G21+H21+I21</f>
        <v>7092</v>
      </c>
      <c r="K21" s="69">
        <f>+F21-J21</f>
        <v>112908</v>
      </c>
      <c r="L21" s="69">
        <f t="shared" ref="L21:L23" si="9">+IF(K21*12&lt;=416220.01,0,IF(K21*12&lt;=624329.01,(((K21*12-416220.01)*0.15)/12),IF((K21*12&lt;=867123.01),(31216+0.2*(K21*12-624329.01))/12,((79776+0.25*(K21*12-867123.01))/12))))</f>
        <v>16809.937291666665</v>
      </c>
      <c r="M21" s="221">
        <v>5934.68</v>
      </c>
      <c r="N21" s="215">
        <f t="shared" ref="N21:N23" si="10">+M21+I21+H21+G21+L21</f>
        <v>29836.617291666666</v>
      </c>
      <c r="O21" s="217">
        <f t="shared" ref="O21:O23" si="11">+F21-N21</f>
        <v>90163.382708333331</v>
      </c>
    </row>
    <row r="22" spans="1:16" s="232" customFormat="1" ht="35.1" customHeight="1" x14ac:dyDescent="0.2">
      <c r="A22" s="73">
        <f>+A21+1</f>
        <v>12</v>
      </c>
      <c r="B22" s="72" t="s">
        <v>51</v>
      </c>
      <c r="C22" s="73" t="s">
        <v>335</v>
      </c>
      <c r="D22" s="233" t="s">
        <v>558</v>
      </c>
      <c r="E22" s="72" t="s">
        <v>96</v>
      </c>
      <c r="F22" s="216">
        <v>110000</v>
      </c>
      <c r="G22" s="216">
        <f>F22*2.87%</f>
        <v>3157</v>
      </c>
      <c r="H22" s="216">
        <f>+F22*3.04%</f>
        <v>3344</v>
      </c>
      <c r="I22" s="216"/>
      <c r="J22" s="69">
        <f>+G22+H22+I22</f>
        <v>6501</v>
      </c>
      <c r="K22" s="69">
        <f>+F22-J22</f>
        <v>103499</v>
      </c>
      <c r="L22" s="69">
        <f t="shared" si="9"/>
        <v>14457.687291666667</v>
      </c>
      <c r="M22" s="221">
        <v>1330.29</v>
      </c>
      <c r="N22" s="215">
        <f t="shared" si="10"/>
        <v>22288.977291666666</v>
      </c>
      <c r="O22" s="217">
        <f t="shared" si="11"/>
        <v>87711.02270833333</v>
      </c>
    </row>
    <row r="23" spans="1:16" s="148" customFormat="1" ht="35.1" customHeight="1" x14ac:dyDescent="0.2">
      <c r="A23" s="213">
        <f>+A22+1</f>
        <v>13</v>
      </c>
      <c r="B23" s="214" t="s">
        <v>401</v>
      </c>
      <c r="C23" s="213" t="s">
        <v>335</v>
      </c>
      <c r="D23" s="233" t="s">
        <v>575</v>
      </c>
      <c r="E23" s="72" t="s">
        <v>97</v>
      </c>
      <c r="F23" s="215">
        <v>90000</v>
      </c>
      <c r="G23" s="215">
        <f>F23*2.87%</f>
        <v>2583</v>
      </c>
      <c r="H23" s="215">
        <f>F23*3.04%</f>
        <v>2736</v>
      </c>
      <c r="I23" s="69">
        <v>0</v>
      </c>
      <c r="J23" s="69">
        <f>+G23+H23+I23</f>
        <v>5319</v>
      </c>
      <c r="K23" s="69">
        <f>+F23-J23</f>
        <v>84681</v>
      </c>
      <c r="L23" s="69">
        <f t="shared" si="9"/>
        <v>9753.1872916666671</v>
      </c>
      <c r="M23" s="221">
        <v>7948.22</v>
      </c>
      <c r="N23" s="215">
        <f t="shared" si="10"/>
        <v>23020.40729166667</v>
      </c>
      <c r="O23" s="217">
        <f t="shared" si="11"/>
        <v>66979.592708333337</v>
      </c>
    </row>
    <row r="24" spans="1:16" s="226" customFormat="1" ht="35.1" customHeight="1" x14ac:dyDescent="0.2">
      <c r="A24" s="223" t="s">
        <v>99</v>
      </c>
      <c r="B24" s="224"/>
      <c r="C24" s="224"/>
      <c r="D24" s="224"/>
      <c r="E24" s="224"/>
      <c r="F24" s="225">
        <f t="shared" ref="F24:O24" si="12">SUM(F20:F23)</f>
        <v>550000</v>
      </c>
      <c r="G24" s="225">
        <f t="shared" si="12"/>
        <v>15785</v>
      </c>
      <c r="H24" s="225">
        <f t="shared" si="12"/>
        <v>16720</v>
      </c>
      <c r="I24" s="225">
        <f t="shared" si="12"/>
        <v>1919.78</v>
      </c>
      <c r="J24" s="225">
        <f t="shared" si="12"/>
        <v>34424.78</v>
      </c>
      <c r="K24" s="225">
        <f t="shared" si="12"/>
        <v>515575.22</v>
      </c>
      <c r="L24" s="225">
        <f t="shared" si="12"/>
        <v>83225.554166666654</v>
      </c>
      <c r="M24" s="225">
        <f t="shared" si="12"/>
        <v>15238.19</v>
      </c>
      <c r="N24" s="225">
        <f t="shared" si="12"/>
        <v>132888.52416666667</v>
      </c>
      <c r="O24" s="225">
        <f t="shared" si="12"/>
        <v>417111.47583333333</v>
      </c>
      <c r="P24" s="340"/>
    </row>
    <row r="25" spans="1:16" s="206" customFormat="1" ht="35.1" customHeight="1" thickBot="1" x14ac:dyDescent="0.25">
      <c r="A25" s="227"/>
      <c r="B25" s="147"/>
      <c r="C25" s="203"/>
      <c r="D25" s="228"/>
      <c r="E25" s="228"/>
      <c r="F25" s="148"/>
      <c r="G25" s="148"/>
      <c r="H25" s="148"/>
      <c r="I25" s="148"/>
      <c r="J25" s="148"/>
      <c r="K25" s="148"/>
      <c r="L25" s="148"/>
      <c r="M25" s="148"/>
      <c r="N25" s="148"/>
      <c r="O25" s="148"/>
    </row>
    <row r="26" spans="1:16" s="205" customFormat="1" ht="35.1" customHeight="1" thickBot="1" x14ac:dyDescent="0.25">
      <c r="A26" s="229" t="s">
        <v>148</v>
      </c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</row>
    <row r="27" spans="1:16" s="226" customFormat="1" ht="35.1" customHeight="1" x14ac:dyDescent="0.2">
      <c r="A27" s="73">
        <f>+A23+1</f>
        <v>14</v>
      </c>
      <c r="B27" s="72" t="s">
        <v>112</v>
      </c>
      <c r="C27" s="73" t="s">
        <v>335</v>
      </c>
      <c r="D27" s="233" t="s">
        <v>361</v>
      </c>
      <c r="E27" s="72" t="s">
        <v>96</v>
      </c>
      <c r="F27" s="216">
        <v>170500</v>
      </c>
      <c r="G27" s="216">
        <f>F27*2.87%</f>
        <v>4893.3500000000004</v>
      </c>
      <c r="H27" s="215">
        <f>+F27*3.04%</f>
        <v>5183.2</v>
      </c>
      <c r="I27" s="215"/>
      <c r="J27" s="69">
        <f>+G27+H27+I27</f>
        <v>10076.549999999999</v>
      </c>
      <c r="K27" s="69">
        <f>+F27-J27</f>
        <v>160423.45000000001</v>
      </c>
      <c r="L27" s="69">
        <f>+IF(K27*12&lt;=416220.01,0,IF(K27*12&lt;=624329.01,(((K27*12-416220.01)*0.15)/12),IF((K27*12&lt;=867123.01),(31216+0.2*(K27*12-624329.01))/12,((79776+0.25*(K27*12-867123.01))/12))))</f>
        <v>28688.799791666668</v>
      </c>
      <c r="M27" s="221">
        <v>19176</v>
      </c>
      <c r="N27" s="215">
        <f>+M27+I27+H27+G27+L27</f>
        <v>57941.349791666667</v>
      </c>
      <c r="O27" s="217">
        <f>+F27-N27</f>
        <v>112558.65020833333</v>
      </c>
    </row>
    <row r="28" spans="1:16" s="226" customFormat="1" ht="35.1" customHeight="1" x14ac:dyDescent="0.2">
      <c r="A28" s="223" t="s">
        <v>99</v>
      </c>
      <c r="B28" s="224"/>
      <c r="C28" s="224"/>
      <c r="D28" s="224"/>
      <c r="E28" s="224"/>
      <c r="F28" s="225">
        <f t="shared" ref="F28:L28" si="13">SUM(F27)</f>
        <v>170500</v>
      </c>
      <c r="G28" s="225">
        <f t="shared" si="13"/>
        <v>4893.3500000000004</v>
      </c>
      <c r="H28" s="225">
        <f t="shared" si="13"/>
        <v>5183.2</v>
      </c>
      <c r="I28" s="225">
        <f t="shared" si="13"/>
        <v>0</v>
      </c>
      <c r="J28" s="225">
        <f t="shared" si="13"/>
        <v>10076.549999999999</v>
      </c>
      <c r="K28" s="225">
        <f t="shared" si="13"/>
        <v>160423.45000000001</v>
      </c>
      <c r="L28" s="225">
        <f t="shared" si="13"/>
        <v>28688.799791666668</v>
      </c>
      <c r="M28" s="225">
        <f>SUM(M27)</f>
        <v>19176</v>
      </c>
      <c r="N28" s="225">
        <f>SUM(N27)</f>
        <v>57941.349791666667</v>
      </c>
      <c r="O28" s="225">
        <f>SUM(O27)</f>
        <v>112558.65020833333</v>
      </c>
      <c r="P28" s="340"/>
    </row>
    <row r="29" spans="1:16" s="206" customFormat="1" ht="35.1" customHeight="1" thickBot="1" x14ac:dyDescent="0.25">
      <c r="A29" s="227"/>
      <c r="B29" s="147"/>
      <c r="C29" s="203"/>
      <c r="D29" s="228"/>
      <c r="E29" s="228"/>
      <c r="F29" s="148"/>
      <c r="G29" s="148"/>
      <c r="H29" s="148"/>
      <c r="I29" s="148"/>
      <c r="J29" s="148"/>
      <c r="K29" s="148"/>
      <c r="L29" s="148"/>
      <c r="M29" s="148"/>
      <c r="N29" s="148"/>
      <c r="O29" s="148"/>
    </row>
    <row r="30" spans="1:16" s="232" customFormat="1" ht="35.1" customHeight="1" thickBot="1" x14ac:dyDescent="0.25">
      <c r="A30" s="229" t="s">
        <v>123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</row>
    <row r="31" spans="1:16" s="148" customFormat="1" ht="35.1" customHeight="1" x14ac:dyDescent="0.2">
      <c r="A31" s="73">
        <f>+A27+1</f>
        <v>15</v>
      </c>
      <c r="B31" s="72" t="s">
        <v>32</v>
      </c>
      <c r="C31" s="73" t="s">
        <v>335</v>
      </c>
      <c r="D31" s="233" t="s">
        <v>575</v>
      </c>
      <c r="E31" s="72" t="s">
        <v>97</v>
      </c>
      <c r="F31" s="216">
        <v>102000</v>
      </c>
      <c r="G31" s="68">
        <v>2927.4</v>
      </c>
      <c r="H31" s="68">
        <v>3100.8</v>
      </c>
      <c r="I31" s="68"/>
      <c r="J31" s="69">
        <v>6028.2000000000007</v>
      </c>
      <c r="K31" s="69">
        <v>95971.8</v>
      </c>
      <c r="L31" s="69">
        <f>+IF(K31*12&lt;=416220.01,0,IF(K31*12&lt;=624329.01,(((K31*12-416220.01)*0.15)/12),IF((K31*12&lt;=867123.01),(31216+0.2*(K31*12-624329.01))/12,((79776+0.25*(K31*12-867123.01))/12))))</f>
        <v>12575.887291666668</v>
      </c>
      <c r="M31" s="234">
        <v>4725</v>
      </c>
      <c r="N31" s="215">
        <f>+M31+I31+H31+G31+L31</f>
        <v>23329.08729166667</v>
      </c>
      <c r="O31" s="84">
        <f>+F31-N31</f>
        <v>78670.91270833333</v>
      </c>
    </row>
    <row r="32" spans="1:16" s="236" customFormat="1" ht="35.1" customHeight="1" x14ac:dyDescent="0.2">
      <c r="A32" s="223" t="s">
        <v>99</v>
      </c>
      <c r="B32" s="224"/>
      <c r="C32" s="224"/>
      <c r="D32" s="224"/>
      <c r="E32" s="239"/>
      <c r="F32" s="225">
        <f t="shared" ref="F32:O32" si="14">+F31</f>
        <v>102000</v>
      </c>
      <c r="G32" s="225">
        <f t="shared" si="14"/>
        <v>2927.4</v>
      </c>
      <c r="H32" s="225">
        <f t="shared" si="14"/>
        <v>3100.8</v>
      </c>
      <c r="I32" s="225">
        <f t="shared" si="14"/>
        <v>0</v>
      </c>
      <c r="J32" s="225">
        <f t="shared" si="14"/>
        <v>6028.2000000000007</v>
      </c>
      <c r="K32" s="225">
        <f t="shared" si="14"/>
        <v>95971.8</v>
      </c>
      <c r="L32" s="225">
        <f t="shared" si="14"/>
        <v>12575.887291666668</v>
      </c>
      <c r="M32" s="225">
        <f t="shared" si="14"/>
        <v>4725</v>
      </c>
      <c r="N32" s="225">
        <f t="shared" si="14"/>
        <v>23329.08729166667</v>
      </c>
      <c r="O32" s="225">
        <f t="shared" si="14"/>
        <v>78670.91270833333</v>
      </c>
      <c r="P32" s="341"/>
    </row>
    <row r="33" spans="1:16" s="148" customFormat="1" ht="35.1" customHeight="1" thickBot="1" x14ac:dyDescent="0.25">
      <c r="A33" s="146"/>
      <c r="B33" s="146"/>
      <c r="C33" s="146"/>
      <c r="D33" s="146"/>
      <c r="E33" s="146"/>
      <c r="F33" s="226"/>
      <c r="G33" s="226"/>
      <c r="H33" s="226"/>
      <c r="I33" s="98"/>
      <c r="J33" s="98"/>
      <c r="K33" s="98"/>
      <c r="L33" s="98"/>
      <c r="M33" s="98"/>
      <c r="N33" s="98"/>
      <c r="O33" s="98"/>
    </row>
    <row r="34" spans="1:16" s="148" customFormat="1" ht="35.1" customHeight="1" thickBot="1" x14ac:dyDescent="0.25">
      <c r="A34" s="229" t="s">
        <v>124</v>
      </c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</row>
    <row r="35" spans="1:16" s="149" customFormat="1" ht="46.5" customHeight="1" x14ac:dyDescent="0.2">
      <c r="A35" s="213">
        <f>+A31+1</f>
        <v>16</v>
      </c>
      <c r="B35" s="214" t="s">
        <v>37</v>
      </c>
      <c r="C35" s="213" t="s">
        <v>335</v>
      </c>
      <c r="D35" s="220" t="s">
        <v>575</v>
      </c>
      <c r="E35" s="72" t="s">
        <v>97</v>
      </c>
      <c r="F35" s="215">
        <v>110000</v>
      </c>
      <c r="G35" s="216">
        <f>F35*2.87%</f>
        <v>3157</v>
      </c>
      <c r="H35" s="216">
        <f>+F35*3.04%</f>
        <v>3344</v>
      </c>
      <c r="I35" s="216">
        <v>0</v>
      </c>
      <c r="J35" s="215">
        <f>+G35+H35+I35</f>
        <v>6501</v>
      </c>
      <c r="K35" s="215">
        <f>+F35-J35</f>
        <v>103499</v>
      </c>
      <c r="L35" s="69">
        <v>14457.69</v>
      </c>
      <c r="M35" s="221">
        <v>1330.29</v>
      </c>
      <c r="N35" s="215">
        <f>+M35+I35+H35+G35+L35</f>
        <v>22288.98</v>
      </c>
      <c r="O35" s="217">
        <f>+F35-N35</f>
        <v>87711.02</v>
      </c>
    </row>
    <row r="36" spans="1:16" s="148" customFormat="1" ht="35.1" customHeight="1" x14ac:dyDescent="0.2">
      <c r="A36" s="213">
        <f>+A35+1</f>
        <v>17</v>
      </c>
      <c r="B36" s="214" t="s">
        <v>200</v>
      </c>
      <c r="C36" s="213" t="s">
        <v>335</v>
      </c>
      <c r="D36" s="220" t="s">
        <v>575</v>
      </c>
      <c r="E36" s="72" t="s">
        <v>96</v>
      </c>
      <c r="F36" s="215">
        <v>95000</v>
      </c>
      <c r="G36" s="216">
        <f>F36*2.87%</f>
        <v>2726.5</v>
      </c>
      <c r="H36" s="216">
        <f>+F36*3.04%</f>
        <v>2888</v>
      </c>
      <c r="I36" s="216"/>
      <c r="J36" s="215">
        <f>+G36+H36+I36</f>
        <v>5614.5</v>
      </c>
      <c r="K36" s="215">
        <f>+F36-J36</f>
        <v>89385.5</v>
      </c>
      <c r="L36" s="69">
        <f>+IF(K36*12&lt;=416220.01,0,IF(K36*12&lt;=624329.01,(((K36*12-416220.01)*0.15)/12),IF((K36*12&lt;=867123.01),(31216+0.2*(K36*12-624329.01))/12,((79776+0.25*(K36*12-867123.01))/12))))</f>
        <v>10929.312291666667</v>
      </c>
      <c r="M36" s="221">
        <v>225</v>
      </c>
      <c r="N36" s="215">
        <f>+M36+I36+H36+G36+L36</f>
        <v>16768.812291666669</v>
      </c>
      <c r="O36" s="217">
        <f>+F36-N36</f>
        <v>78231.187708333338</v>
      </c>
    </row>
    <row r="37" spans="1:16" s="236" customFormat="1" ht="35.1" customHeight="1" x14ac:dyDescent="0.2">
      <c r="A37" s="213">
        <f>+A36+1</f>
        <v>18</v>
      </c>
      <c r="B37" s="214" t="s">
        <v>360</v>
      </c>
      <c r="C37" s="213" t="s">
        <v>334</v>
      </c>
      <c r="D37" s="220" t="s">
        <v>569</v>
      </c>
      <c r="E37" s="72" t="s">
        <v>97</v>
      </c>
      <c r="F37" s="215">
        <v>85000</v>
      </c>
      <c r="G37" s="216">
        <f>F37*2.87%</f>
        <v>2439.5</v>
      </c>
      <c r="H37" s="216">
        <f>+F37*3.04%</f>
        <v>2584</v>
      </c>
      <c r="I37" s="216"/>
      <c r="J37" s="215">
        <f>+G37+H37+I37</f>
        <v>5023.5</v>
      </c>
      <c r="K37" s="215">
        <f>+F37-J37</f>
        <v>79976.5</v>
      </c>
      <c r="L37" s="69">
        <f>+IF(K37*12&lt;=416220.01,0,IF(K37*12&lt;=624329.01,(((K37*12-416220.01)*0.15)/12),IF((K37*12&lt;=867123.01),(31216+0.2*(K37*12-624329.01))/12,((79776+0.25*(K37*12-867123.01))/12))))</f>
        <v>8577.0622916666671</v>
      </c>
      <c r="M37" s="221">
        <v>11511.38</v>
      </c>
      <c r="N37" s="215">
        <f>+M37+I37+H37+G37+L37</f>
        <v>25111.942291666666</v>
      </c>
      <c r="O37" s="217">
        <f>F37-N37</f>
        <v>59888.057708333334</v>
      </c>
    </row>
    <row r="38" spans="1:16" s="236" customFormat="1" ht="35.1" customHeight="1" x14ac:dyDescent="0.2">
      <c r="A38" s="213">
        <f>+A37+1</f>
        <v>19</v>
      </c>
      <c r="B38" s="214" t="s">
        <v>594</v>
      </c>
      <c r="C38" s="213" t="s">
        <v>335</v>
      </c>
      <c r="D38" s="220" t="s">
        <v>569</v>
      </c>
      <c r="E38" s="72" t="s">
        <v>97</v>
      </c>
      <c r="F38" s="215">
        <v>80000</v>
      </c>
      <c r="G38" s="216">
        <f>F38*2.87%</f>
        <v>2296</v>
      </c>
      <c r="H38" s="216">
        <f>+F38*3.04%</f>
        <v>2432</v>
      </c>
      <c r="I38" s="216"/>
      <c r="J38" s="215">
        <f>+G38+H38+I38</f>
        <v>4728</v>
      </c>
      <c r="K38" s="215">
        <f>+F38-J38</f>
        <v>75272</v>
      </c>
      <c r="L38" s="69">
        <v>0</v>
      </c>
      <c r="M38" s="221">
        <v>1290.29</v>
      </c>
      <c r="N38" s="215">
        <f>+M38+I38+H38+G38+L38</f>
        <v>6018.29</v>
      </c>
      <c r="O38" s="217">
        <f>F38-N38</f>
        <v>73981.710000000006</v>
      </c>
    </row>
    <row r="39" spans="1:16" s="240" customFormat="1" ht="35.1" customHeight="1" thickBot="1" x14ac:dyDescent="0.25">
      <c r="A39" s="223" t="s">
        <v>99</v>
      </c>
      <c r="B39" s="224"/>
      <c r="C39" s="224"/>
      <c r="D39" s="224"/>
      <c r="E39" s="239"/>
      <c r="F39" s="225">
        <f>SUM(F35:F38)</f>
        <v>370000</v>
      </c>
      <c r="G39" s="225">
        <f t="shared" ref="G39:O39" si="15">SUM(G35:G38)</f>
        <v>10619</v>
      </c>
      <c r="H39" s="225">
        <f t="shared" si="15"/>
        <v>11248</v>
      </c>
      <c r="I39" s="225">
        <f t="shared" si="15"/>
        <v>0</v>
      </c>
      <c r="J39" s="225">
        <f t="shared" si="15"/>
        <v>21867</v>
      </c>
      <c r="K39" s="225">
        <f t="shared" si="15"/>
        <v>348133</v>
      </c>
      <c r="L39" s="225">
        <f t="shared" si="15"/>
        <v>33964.064583333333</v>
      </c>
      <c r="M39" s="225">
        <f t="shared" si="15"/>
        <v>14356.96</v>
      </c>
      <c r="N39" s="225">
        <f t="shared" si="15"/>
        <v>70188.024583333332</v>
      </c>
      <c r="O39" s="225">
        <f t="shared" si="15"/>
        <v>299811.97541666665</v>
      </c>
      <c r="P39" s="342"/>
    </row>
    <row r="40" spans="1:16" s="240" customFormat="1" ht="35.1" customHeight="1" thickBot="1" x14ac:dyDescent="0.25">
      <c r="A40" s="229" t="s">
        <v>125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</row>
    <row r="41" spans="1:16" s="148" customFormat="1" ht="49.5" customHeight="1" x14ac:dyDescent="0.2">
      <c r="A41" s="213">
        <f>+A38+1</f>
        <v>20</v>
      </c>
      <c r="B41" s="214" t="s">
        <v>216</v>
      </c>
      <c r="C41" s="213" t="s">
        <v>335</v>
      </c>
      <c r="D41" s="222" t="s">
        <v>557</v>
      </c>
      <c r="E41" s="72" t="s">
        <v>96</v>
      </c>
      <c r="F41" s="215">
        <v>155000</v>
      </c>
      <c r="G41" s="216">
        <v>4448.5</v>
      </c>
      <c r="H41" s="216">
        <v>4712</v>
      </c>
      <c r="I41" s="216"/>
      <c r="J41" s="215">
        <v>9160.5</v>
      </c>
      <c r="K41" s="215">
        <v>145839.5</v>
      </c>
      <c r="L41" s="69">
        <f>+IF(K41*12&lt;=416220.01,0,IF(K41*12&lt;=624329.01,(((K41*12-416220.01)*0.15)/12),IF((K41*12&lt;=867123.01),(31216+0.2*(K41*12-624329.01))/12,((79776+0.25*(K41*12-867123.01))/12))))</f>
        <v>25042.812291666665</v>
      </c>
      <c r="M41" s="221">
        <v>1290.29</v>
      </c>
      <c r="N41" s="215">
        <f>+M41+I41+H41+G41+L41</f>
        <v>35493.60229166667</v>
      </c>
      <c r="O41" s="217">
        <f>+F41-N41</f>
        <v>119506.39770833333</v>
      </c>
    </row>
    <row r="42" spans="1:16" s="149" customFormat="1" ht="49.5" customHeight="1" x14ac:dyDescent="0.2">
      <c r="A42" s="213">
        <f>+A41+1</f>
        <v>21</v>
      </c>
      <c r="B42" s="214" t="s">
        <v>202</v>
      </c>
      <c r="C42" s="213" t="s">
        <v>335</v>
      </c>
      <c r="D42" s="222" t="s">
        <v>575</v>
      </c>
      <c r="E42" s="72" t="s">
        <v>97</v>
      </c>
      <c r="F42" s="215">
        <v>90000</v>
      </c>
      <c r="G42" s="216">
        <f>F42*2.87%</f>
        <v>2583</v>
      </c>
      <c r="H42" s="216">
        <f>+F42*3.04%</f>
        <v>2736</v>
      </c>
      <c r="I42" s="216"/>
      <c r="J42" s="215">
        <f>+G42+H42+I42</f>
        <v>5319</v>
      </c>
      <c r="K42" s="215">
        <f>+F42-J42</f>
        <v>84681</v>
      </c>
      <c r="L42" s="69">
        <f t="shared" ref="L42:L45" si="16">+IF(K42*12&lt;=416220.01,0,IF(K42*12&lt;=624329.01,(((K42*12-416220.01)*0.15)/12),IF((K42*12&lt;=867123.01),(31216+0.2*(K42*12-624329.01))/12,((79776+0.25*(K42*12-867123.01))/12))))</f>
        <v>9753.1872916666671</v>
      </c>
      <c r="M42" s="221">
        <v>17660.23</v>
      </c>
      <c r="N42" s="215">
        <f>+M42+I42+H42+G42+L42</f>
        <v>32732.417291666665</v>
      </c>
      <c r="O42" s="217">
        <f>+F42-N42</f>
        <v>57267.582708333335</v>
      </c>
    </row>
    <row r="43" spans="1:16" s="149" customFormat="1" ht="49.5" customHeight="1" x14ac:dyDescent="0.2">
      <c r="A43" s="213">
        <f>+A42+1</f>
        <v>22</v>
      </c>
      <c r="B43" s="214" t="s">
        <v>52</v>
      </c>
      <c r="C43" s="213" t="s">
        <v>334</v>
      </c>
      <c r="D43" s="222" t="s">
        <v>575</v>
      </c>
      <c r="E43" s="72" t="s">
        <v>96</v>
      </c>
      <c r="F43" s="215">
        <v>85000</v>
      </c>
      <c r="G43" s="216">
        <f>F43*2.87%</f>
        <v>2439.5</v>
      </c>
      <c r="H43" s="216">
        <f>+F43*3.04%</f>
        <v>2584</v>
      </c>
      <c r="I43" s="216">
        <v>1919.78</v>
      </c>
      <c r="J43" s="215">
        <f>+G43+H43+I43</f>
        <v>6943.28</v>
      </c>
      <c r="K43" s="215">
        <f>+F43-J43</f>
        <v>78056.72</v>
      </c>
      <c r="L43" s="69">
        <f t="shared" si="16"/>
        <v>8097.1172916666665</v>
      </c>
      <c r="M43" s="221">
        <v>28601.23</v>
      </c>
      <c r="N43" s="215">
        <f>+M43+I43+H43+G43+L43</f>
        <v>43641.627291666664</v>
      </c>
      <c r="O43" s="217">
        <f>+F43-N43</f>
        <v>41358.372708333336</v>
      </c>
    </row>
    <row r="44" spans="1:16" s="149" customFormat="1" ht="49.5" customHeight="1" x14ac:dyDescent="0.2">
      <c r="A44" s="213">
        <f>+A43+1</f>
        <v>23</v>
      </c>
      <c r="B44" s="214" t="s">
        <v>203</v>
      </c>
      <c r="C44" s="213" t="s">
        <v>335</v>
      </c>
      <c r="D44" s="222" t="s">
        <v>575</v>
      </c>
      <c r="E44" s="72" t="s">
        <v>97</v>
      </c>
      <c r="F44" s="215">
        <v>85000</v>
      </c>
      <c r="G44" s="216">
        <f>F44*2.87%</f>
        <v>2439.5</v>
      </c>
      <c r="H44" s="216">
        <f>+F44*3.04%</f>
        <v>2584</v>
      </c>
      <c r="I44" s="216">
        <v>0</v>
      </c>
      <c r="J44" s="215">
        <f>+G44+H44+I44</f>
        <v>5023.5</v>
      </c>
      <c r="K44" s="215">
        <f>+F44-J44</f>
        <v>79976.5</v>
      </c>
      <c r="L44" s="69">
        <f t="shared" si="16"/>
        <v>8577.0622916666671</v>
      </c>
      <c r="M44" s="221">
        <v>16998.05</v>
      </c>
      <c r="N44" s="215">
        <f>+M44+I44+H44+G44+L44</f>
        <v>30598.612291666665</v>
      </c>
      <c r="O44" s="217">
        <f>+F44-N44</f>
        <v>54401.387708333335</v>
      </c>
    </row>
    <row r="45" spans="1:16" s="219" customFormat="1" ht="35.1" customHeight="1" x14ac:dyDescent="0.2">
      <c r="A45" s="213">
        <f>+A44+1</f>
        <v>24</v>
      </c>
      <c r="B45" s="214" t="s">
        <v>41</v>
      </c>
      <c r="C45" s="213" t="s">
        <v>335</v>
      </c>
      <c r="D45" s="222" t="s">
        <v>575</v>
      </c>
      <c r="E45" s="72" t="s">
        <v>96</v>
      </c>
      <c r="F45" s="215">
        <v>85000</v>
      </c>
      <c r="G45" s="216">
        <f>F45*2.87%</f>
        <v>2439.5</v>
      </c>
      <c r="H45" s="216">
        <f>+F45*3.04%</f>
        <v>2584</v>
      </c>
      <c r="I45" s="216"/>
      <c r="J45" s="215">
        <f>+G45+H45+I45</f>
        <v>5023.5</v>
      </c>
      <c r="K45" s="215">
        <f>+F45-J45</f>
        <v>79976.5</v>
      </c>
      <c r="L45" s="69">
        <f t="shared" si="16"/>
        <v>8577.0622916666671</v>
      </c>
      <c r="M45" s="221">
        <v>2370.29</v>
      </c>
      <c r="N45" s="215">
        <f>+M45+I45+H45+G45+L45</f>
        <v>15970.852291666666</v>
      </c>
      <c r="O45" s="217">
        <f>+F45-N45</f>
        <v>69029.14770833333</v>
      </c>
    </row>
    <row r="46" spans="1:16" s="148" customFormat="1" ht="35.1" customHeight="1" x14ac:dyDescent="0.2">
      <c r="A46" s="223" t="s">
        <v>99</v>
      </c>
      <c r="B46" s="224"/>
      <c r="C46" s="224"/>
      <c r="D46" s="224"/>
      <c r="E46" s="239"/>
      <c r="F46" s="225">
        <f t="shared" ref="F46:O46" si="17">SUM(F41:F45)</f>
        <v>500000</v>
      </c>
      <c r="G46" s="225">
        <f t="shared" si="17"/>
        <v>14350</v>
      </c>
      <c r="H46" s="225">
        <f t="shared" si="17"/>
        <v>15200</v>
      </c>
      <c r="I46" s="225">
        <f t="shared" si="17"/>
        <v>1919.78</v>
      </c>
      <c r="J46" s="225">
        <f t="shared" si="17"/>
        <v>31469.78</v>
      </c>
      <c r="K46" s="225">
        <f t="shared" si="17"/>
        <v>468530.22</v>
      </c>
      <c r="L46" s="225">
        <f t="shared" si="17"/>
        <v>60047.241458333338</v>
      </c>
      <c r="M46" s="225">
        <f t="shared" si="17"/>
        <v>66920.09</v>
      </c>
      <c r="N46" s="225">
        <f t="shared" si="17"/>
        <v>158437.11145833333</v>
      </c>
      <c r="O46" s="225">
        <f t="shared" si="17"/>
        <v>341562.88854166667</v>
      </c>
      <c r="P46" s="339"/>
    </row>
    <row r="47" spans="1:16" s="148" customFormat="1" ht="35.1" customHeight="1" thickBot="1" x14ac:dyDescent="0.25">
      <c r="A47" s="218"/>
      <c r="B47" s="218"/>
      <c r="C47" s="243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</row>
    <row r="48" spans="1:16" s="240" customFormat="1" ht="35.1" customHeight="1" thickBot="1" x14ac:dyDescent="0.25">
      <c r="A48" s="229" t="s">
        <v>362</v>
      </c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</row>
    <row r="49" spans="1:16" s="148" customFormat="1" ht="35.1" customHeight="1" x14ac:dyDescent="0.2">
      <c r="A49" s="237">
        <f>+A45+1</f>
        <v>25</v>
      </c>
      <c r="B49" s="244" t="s">
        <v>40</v>
      </c>
      <c r="C49" s="237" t="s">
        <v>335</v>
      </c>
      <c r="D49" s="245" t="s">
        <v>150</v>
      </c>
      <c r="E49" s="238" t="s">
        <v>97</v>
      </c>
      <c r="F49" s="69">
        <v>126500</v>
      </c>
      <c r="G49" s="69">
        <v>3630.55</v>
      </c>
      <c r="H49" s="69">
        <v>3845.6</v>
      </c>
      <c r="I49" s="68">
        <v>1919.78</v>
      </c>
      <c r="J49" s="69">
        <f>+G49+H49+I49</f>
        <v>9395.93</v>
      </c>
      <c r="K49" s="69">
        <f>+F49-J49</f>
        <v>117104.07</v>
      </c>
      <c r="L49" s="69">
        <f>+IF(K49*12&lt;=416220.01,0,IF(K49*12&lt;=624329.01,(((K49*12-416220.01)*0.15)/12),IF((K49*12&lt;=867123.01),(31216+0.2*(K49*12-624329.01))/12,((79776+0.25*(K49*12-867123.01))/12))))</f>
        <v>17858.954791666667</v>
      </c>
      <c r="M49" s="217">
        <v>225</v>
      </c>
      <c r="N49" s="215">
        <f>+M49+I49+H49+G49+L49</f>
        <v>27479.884791666667</v>
      </c>
      <c r="O49" s="217">
        <f>+F49-N49</f>
        <v>99020.115208333329</v>
      </c>
    </row>
    <row r="50" spans="1:16" s="148" customFormat="1" ht="35.1" customHeight="1" x14ac:dyDescent="0.2">
      <c r="A50" s="223" t="s">
        <v>99</v>
      </c>
      <c r="B50" s="224"/>
      <c r="C50" s="224"/>
      <c r="D50" s="224"/>
      <c r="E50" s="239"/>
      <c r="F50" s="225">
        <f t="shared" ref="F50:L50" si="18">SUM(F49)</f>
        <v>126500</v>
      </c>
      <c r="G50" s="225">
        <f t="shared" si="18"/>
        <v>3630.55</v>
      </c>
      <c r="H50" s="225">
        <f t="shared" si="18"/>
        <v>3845.6</v>
      </c>
      <c r="I50" s="225">
        <f t="shared" si="18"/>
        <v>1919.78</v>
      </c>
      <c r="J50" s="225">
        <f t="shared" si="18"/>
        <v>9395.93</v>
      </c>
      <c r="K50" s="225">
        <f t="shared" si="18"/>
        <v>117104.07</v>
      </c>
      <c r="L50" s="225">
        <f t="shared" si="18"/>
        <v>17858.954791666667</v>
      </c>
      <c r="M50" s="225">
        <f>SUM(M49)</f>
        <v>225</v>
      </c>
      <c r="N50" s="225">
        <f>SUM(N49)</f>
        <v>27479.884791666667</v>
      </c>
      <c r="O50" s="225">
        <f>SUM(O49)</f>
        <v>99020.115208333329</v>
      </c>
      <c r="P50" s="339"/>
    </row>
    <row r="51" spans="1:16" s="242" customFormat="1" ht="35.1" customHeight="1" thickBot="1" x14ac:dyDescent="0.25">
      <c r="A51" s="146"/>
      <c r="B51" s="146"/>
      <c r="C51" s="146"/>
      <c r="D51" s="146"/>
      <c r="E51" s="146"/>
      <c r="F51" s="218"/>
      <c r="G51" s="218"/>
      <c r="H51" s="218"/>
      <c r="I51" s="218"/>
      <c r="J51" s="218"/>
      <c r="K51" s="218"/>
      <c r="L51" s="218"/>
      <c r="M51" s="218"/>
      <c r="N51" s="218"/>
      <c r="O51" s="218"/>
    </row>
    <row r="52" spans="1:16" s="242" customFormat="1" ht="35.1" customHeight="1" thickBot="1" x14ac:dyDescent="0.25">
      <c r="A52" s="364" t="s">
        <v>126</v>
      </c>
      <c r="B52" s="365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</row>
    <row r="53" spans="1:16" s="148" customFormat="1" ht="35.1" customHeight="1" x14ac:dyDescent="0.2">
      <c r="A53" s="235">
        <f>+A49+1</f>
        <v>26</v>
      </c>
      <c r="B53" s="72" t="s">
        <v>151</v>
      </c>
      <c r="C53" s="73" t="s">
        <v>335</v>
      </c>
      <c r="D53" s="233" t="s">
        <v>72</v>
      </c>
      <c r="E53" s="72" t="s">
        <v>97</v>
      </c>
      <c r="F53" s="216">
        <v>60000</v>
      </c>
      <c r="G53" s="68">
        <f>F53*2.87%</f>
        <v>1722</v>
      </c>
      <c r="H53" s="68">
        <f>+F53*3.04%</f>
        <v>1824</v>
      </c>
      <c r="I53" s="68">
        <v>1919.78</v>
      </c>
      <c r="J53" s="69">
        <f>+G53+H53+I53</f>
        <v>5465.78</v>
      </c>
      <c r="K53" s="69">
        <f>+F53-J53</f>
        <v>54534.22</v>
      </c>
      <c r="L53" s="69">
        <f>+IF(K53*12&lt;=416220.01,0,IF(K53*12&lt;=624329.01,(((K53*12-416220.01)*0.15)/12),IF((K53*12&lt;=867123.01),(31216+0.2*(K53*12-624329.01))/12,((79776+0.25*(K53*12-867123.01))/12))))</f>
        <v>3102.6938333333333</v>
      </c>
      <c r="M53" s="68">
        <v>990.29</v>
      </c>
      <c r="N53" s="215">
        <f>+M53+I53+H53+G53+L53</f>
        <v>9558.7638333333325</v>
      </c>
      <c r="O53" s="84">
        <f>+F53-N53</f>
        <v>50441.236166666669</v>
      </c>
    </row>
    <row r="54" spans="1:16" s="148" customFormat="1" ht="35.1" customHeight="1" x14ac:dyDescent="0.2">
      <c r="A54" s="223" t="s">
        <v>99</v>
      </c>
      <c r="B54" s="224"/>
      <c r="C54" s="224"/>
      <c r="D54" s="224"/>
      <c r="E54" s="239"/>
      <c r="F54" s="225">
        <f t="shared" ref="F54:L54" si="19">SUM(F53:F53)</f>
        <v>60000</v>
      </c>
      <c r="G54" s="225">
        <f t="shared" si="19"/>
        <v>1722</v>
      </c>
      <c r="H54" s="225">
        <f t="shared" si="19"/>
        <v>1824</v>
      </c>
      <c r="I54" s="225">
        <f t="shared" si="19"/>
        <v>1919.78</v>
      </c>
      <c r="J54" s="225">
        <f t="shared" si="19"/>
        <v>5465.78</v>
      </c>
      <c r="K54" s="225">
        <f t="shared" si="19"/>
        <v>54534.22</v>
      </c>
      <c r="L54" s="225">
        <f t="shared" si="19"/>
        <v>3102.6938333333333</v>
      </c>
      <c r="M54" s="225">
        <f>SUM(M53:M53)</f>
        <v>990.29</v>
      </c>
      <c r="N54" s="225">
        <f>SUM(N53:N53)</f>
        <v>9558.7638333333325</v>
      </c>
      <c r="O54" s="225">
        <f>SUM(O53:O53)</f>
        <v>50441.236166666669</v>
      </c>
      <c r="P54" s="339"/>
    </row>
    <row r="55" spans="1:16" s="219" customFormat="1" ht="35.1" customHeight="1" thickBot="1" x14ac:dyDescent="0.25">
      <c r="A55" s="247"/>
      <c r="B55" s="247"/>
      <c r="C55" s="248"/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</row>
    <row r="56" spans="1:16" s="219" customFormat="1" ht="35.1" customHeight="1" thickBot="1" x14ac:dyDescent="0.25">
      <c r="A56" s="364" t="s">
        <v>127</v>
      </c>
      <c r="B56" s="365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49"/>
      <c r="N56" s="246"/>
      <c r="O56" s="246"/>
    </row>
    <row r="57" spans="1:16" s="206" customFormat="1" ht="36.75" customHeight="1" x14ac:dyDescent="0.2">
      <c r="A57" s="213">
        <f>+A53+1</f>
        <v>27</v>
      </c>
      <c r="B57" s="214" t="s">
        <v>205</v>
      </c>
      <c r="C57" s="213" t="s">
        <v>335</v>
      </c>
      <c r="D57" s="222" t="s">
        <v>575</v>
      </c>
      <c r="E57" s="72" t="s">
        <v>97</v>
      </c>
      <c r="F57" s="215">
        <v>110000</v>
      </c>
      <c r="G57" s="215">
        <f>F57*2.87%</f>
        <v>3157</v>
      </c>
      <c r="H57" s="68">
        <f>+F57*3.04%</f>
        <v>3344</v>
      </c>
      <c r="I57" s="69">
        <f>1919.78*2</f>
        <v>3839.56</v>
      </c>
      <c r="J57" s="69">
        <f>+G57+H57+I57</f>
        <v>10340.56</v>
      </c>
      <c r="K57" s="69">
        <f>+F57-J57</f>
        <v>99659.44</v>
      </c>
      <c r="L57" s="69">
        <f>+IF(K57*12&lt;=416220.01,0,IF(K57*12&lt;=624329.01,(((K57*12-416220.01)*0.15)/12),IF((K57*12&lt;=867123.01),(31216+0.2*(K57*12-624329.01))/12,((79776+0.25*(K57*12-867123.01))/12))))</f>
        <v>13497.797291666668</v>
      </c>
      <c r="M57" s="221">
        <v>12017.39</v>
      </c>
      <c r="N57" s="215">
        <f>+M57+I57+H57+G57+L57</f>
        <v>35855.747291666667</v>
      </c>
      <c r="O57" s="84">
        <f>+F57-N57</f>
        <v>74144.252708333341</v>
      </c>
    </row>
    <row r="58" spans="1:16" s="148" customFormat="1" ht="35.1" customHeight="1" x14ac:dyDescent="0.2">
      <c r="A58" s="213">
        <f>+A57+1</f>
        <v>28</v>
      </c>
      <c r="B58" s="214" t="s">
        <v>47</v>
      </c>
      <c r="C58" s="213" t="s">
        <v>334</v>
      </c>
      <c r="D58" s="250" t="s">
        <v>575</v>
      </c>
      <c r="E58" s="214" t="s">
        <v>97</v>
      </c>
      <c r="F58" s="69">
        <v>110000</v>
      </c>
      <c r="G58" s="216">
        <f>F58*2.87%</f>
        <v>3157</v>
      </c>
      <c r="H58" s="68">
        <f>+F58*3.04%</f>
        <v>3344</v>
      </c>
      <c r="I58" s="68"/>
      <c r="J58" s="69">
        <f>+G58+H58+I58</f>
        <v>6501</v>
      </c>
      <c r="K58" s="69">
        <f>+F58-J58</f>
        <v>103499</v>
      </c>
      <c r="L58" s="69">
        <f>+IF(K58*12&lt;=416220.01,0,IF(K58*12&lt;=624329.01,(((K58*12-416220.01)*0.15)/12),IF((K58*12&lt;=867123.01),(31216+0.2*(K58*12-624329.01))/12,((79776+0.25*(K58*12-867123.01))/12))))</f>
        <v>14457.687291666667</v>
      </c>
      <c r="M58" s="234">
        <v>265</v>
      </c>
      <c r="N58" s="215">
        <f>+M58+I58+H58+G58+L58</f>
        <v>21223.687291666669</v>
      </c>
      <c r="O58" s="84">
        <f>+F58-N58</f>
        <v>88776.312708333338</v>
      </c>
    </row>
    <row r="59" spans="1:16" s="148" customFormat="1" ht="35.1" customHeight="1" x14ac:dyDescent="0.2">
      <c r="A59" s="213">
        <f>+A58+1</f>
        <v>29</v>
      </c>
      <c r="B59" s="220" t="s">
        <v>238</v>
      </c>
      <c r="C59" s="213" t="s">
        <v>335</v>
      </c>
      <c r="D59" s="250" t="s">
        <v>575</v>
      </c>
      <c r="E59" s="214" t="s">
        <v>96</v>
      </c>
      <c r="F59" s="69">
        <v>100000</v>
      </c>
      <c r="G59" s="216">
        <f>F59*2.87%</f>
        <v>2870</v>
      </c>
      <c r="H59" s="68">
        <f>+F59*3.04%</f>
        <v>3040</v>
      </c>
      <c r="I59" s="68"/>
      <c r="J59" s="69">
        <f>+G59+H59+I59</f>
        <v>5910</v>
      </c>
      <c r="K59" s="69">
        <f>+F59-J59</f>
        <v>94090</v>
      </c>
      <c r="L59" s="69">
        <f>+IF(K59*12&lt;=416220.01,0,IF(K59*12&lt;=624329.01,(((K59*12-416220.01)*0.15)/12),IF((K59*12&lt;=867123.01),(31216+0.2*(K59*12-624329.01))/12,((79776+0.25*(K59*12-867123.01))/12))))</f>
        <v>12105.437291666667</v>
      </c>
      <c r="M59" s="221">
        <v>18556.11</v>
      </c>
      <c r="N59" s="215">
        <f>+M59+I59+H59+G59+L59</f>
        <v>36571.547291666669</v>
      </c>
      <c r="O59" s="84">
        <f>+F59-N59</f>
        <v>63428.452708333331</v>
      </c>
    </row>
    <row r="60" spans="1:16" s="148" customFormat="1" ht="35.1" customHeight="1" x14ac:dyDescent="0.2">
      <c r="A60" s="223" t="s">
        <v>99</v>
      </c>
      <c r="B60" s="224"/>
      <c r="C60" s="224"/>
      <c r="D60" s="224"/>
      <c r="E60" s="239"/>
      <c r="F60" s="225">
        <f t="shared" ref="F60:O60" si="20">SUM(F57:F59)</f>
        <v>320000</v>
      </c>
      <c r="G60" s="225">
        <f t="shared" si="20"/>
        <v>9184</v>
      </c>
      <c r="H60" s="225">
        <f t="shared" si="20"/>
        <v>9728</v>
      </c>
      <c r="I60" s="225">
        <f t="shared" si="20"/>
        <v>3839.56</v>
      </c>
      <c r="J60" s="225">
        <f t="shared" si="20"/>
        <v>22751.559999999998</v>
      </c>
      <c r="K60" s="225">
        <f t="shared" si="20"/>
        <v>297248.44</v>
      </c>
      <c r="L60" s="225">
        <f t="shared" si="20"/>
        <v>40060.921875</v>
      </c>
      <c r="M60" s="225">
        <f t="shared" si="20"/>
        <v>30838.5</v>
      </c>
      <c r="N60" s="225">
        <f t="shared" si="20"/>
        <v>93650.981874999998</v>
      </c>
      <c r="O60" s="225">
        <f t="shared" si="20"/>
        <v>226349.018125</v>
      </c>
      <c r="P60" s="339"/>
    </row>
    <row r="61" spans="1:16" s="148" customFormat="1" ht="35.1" customHeight="1" thickBot="1" x14ac:dyDescent="0.25">
      <c r="A61" s="203"/>
      <c r="B61" s="147"/>
      <c r="C61" s="203"/>
      <c r="D61" s="228"/>
      <c r="E61" s="147"/>
    </row>
    <row r="62" spans="1:16" s="148" customFormat="1" ht="35.1" customHeight="1" thickBot="1" x14ac:dyDescent="0.25">
      <c r="A62" s="364" t="s">
        <v>154</v>
      </c>
      <c r="B62" s="365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51"/>
    </row>
    <row r="63" spans="1:16" s="206" customFormat="1" ht="35.1" customHeight="1" x14ac:dyDescent="0.2">
      <c r="A63" s="235">
        <f>+A59+1</f>
        <v>30</v>
      </c>
      <c r="B63" s="72" t="s">
        <v>210</v>
      </c>
      <c r="C63" s="73" t="s">
        <v>335</v>
      </c>
      <c r="D63" s="233" t="s">
        <v>575</v>
      </c>
      <c r="E63" s="72" t="s">
        <v>97</v>
      </c>
      <c r="F63" s="216">
        <v>104000</v>
      </c>
      <c r="G63" s="68">
        <f>F63*2.87%</f>
        <v>2984.8</v>
      </c>
      <c r="H63" s="68">
        <f>+F63*3.04%</f>
        <v>3161.6</v>
      </c>
      <c r="I63" s="68">
        <f>1919.78*2</f>
        <v>3839.56</v>
      </c>
      <c r="J63" s="69">
        <f>+G63+H63+I63</f>
        <v>9985.9599999999991</v>
      </c>
      <c r="K63" s="69">
        <f>+F63-J63</f>
        <v>94014.040000000008</v>
      </c>
      <c r="L63" s="69">
        <f>+IF(K63*12&lt;=416220.01,0,IF(K63*12&lt;=624329.01,(((K63*12-416220.01)*0.15)/12),IF((K63*12&lt;=867123.01),(31216+0.2*(K63*12-624329.01))/12,((79776+0.25*(K63*12-867123.01))/12))))</f>
        <v>12086.447291666665</v>
      </c>
      <c r="M63" s="234">
        <v>19148.919999999998</v>
      </c>
      <c r="N63" s="215">
        <f>+M63+I63+H63+G63+L63</f>
        <v>41221.327291666661</v>
      </c>
      <c r="O63" s="84">
        <f>+F63-N63</f>
        <v>62778.672708333339</v>
      </c>
    </row>
    <row r="64" spans="1:16" s="242" customFormat="1" ht="35.1" customHeight="1" x14ac:dyDescent="0.2">
      <c r="A64" s="213">
        <f>+A63+1</f>
        <v>31</v>
      </c>
      <c r="B64" s="72" t="s">
        <v>39</v>
      </c>
      <c r="C64" s="73" t="s">
        <v>334</v>
      </c>
      <c r="D64" s="233" t="s">
        <v>575</v>
      </c>
      <c r="E64" s="72" t="s">
        <v>96</v>
      </c>
      <c r="F64" s="216">
        <v>100000</v>
      </c>
      <c r="G64" s="216">
        <f>F64*2.87%</f>
        <v>2870</v>
      </c>
      <c r="H64" s="68">
        <f>+F64*3.04%</f>
        <v>3040</v>
      </c>
      <c r="I64" s="68">
        <v>1919.78</v>
      </c>
      <c r="J64" s="69">
        <f>+G64+H64+I64</f>
        <v>7829.78</v>
      </c>
      <c r="K64" s="69">
        <f>+F64-J64</f>
        <v>92170.22</v>
      </c>
      <c r="L64" s="69">
        <f t="shared" ref="L64:L65" si="21">+IF(K64*12&lt;=416220.01,0,IF(K64*12&lt;=624329.01,(((K64*12-416220.01)*0.15)/12),IF((K64*12&lt;=867123.01),(31216+0.2*(K64*12-624329.01))/12,((79776+0.25*(K64*12-867123.01))/12))))</f>
        <v>11625.492291666669</v>
      </c>
      <c r="M64" s="221">
        <v>7592.08</v>
      </c>
      <c r="N64" s="215">
        <f t="shared" ref="N64:N65" si="22">+M64+I64+H64+G64+L64</f>
        <v>27047.35229166667</v>
      </c>
      <c r="O64" s="84">
        <f t="shared" ref="O64:O65" si="23">+F64-N64</f>
        <v>72952.64770833333</v>
      </c>
    </row>
    <row r="65" spans="1:16" s="242" customFormat="1" ht="35.1" customHeight="1" x14ac:dyDescent="0.2">
      <c r="A65" s="213">
        <f>+A64+1</f>
        <v>32</v>
      </c>
      <c r="B65" s="72" t="s">
        <v>209</v>
      </c>
      <c r="C65" s="73" t="s">
        <v>334</v>
      </c>
      <c r="D65" s="233" t="s">
        <v>575</v>
      </c>
      <c r="E65" s="72" t="s">
        <v>96</v>
      </c>
      <c r="F65" s="216">
        <v>90000</v>
      </c>
      <c r="G65" s="216">
        <f>F65*2.87%</f>
        <v>2583</v>
      </c>
      <c r="H65" s="68">
        <f>+F65*3.04%</f>
        <v>2736</v>
      </c>
      <c r="I65" s="68">
        <f>1919.78*2</f>
        <v>3839.56</v>
      </c>
      <c r="J65" s="69">
        <f>+G65+H65+I65</f>
        <v>9158.56</v>
      </c>
      <c r="K65" s="69">
        <f>+F65-J65</f>
        <v>80841.440000000002</v>
      </c>
      <c r="L65" s="69">
        <f t="shared" si="21"/>
        <v>8793.2972916666677</v>
      </c>
      <c r="M65" s="221">
        <v>5567.54</v>
      </c>
      <c r="N65" s="215">
        <f t="shared" si="22"/>
        <v>23519.397291666668</v>
      </c>
      <c r="O65" s="84">
        <f t="shared" si="23"/>
        <v>66480.602708333332</v>
      </c>
    </row>
    <row r="66" spans="1:16" s="148" customFormat="1" ht="45.75" customHeight="1" thickBot="1" x14ac:dyDescent="0.25">
      <c r="A66" s="223" t="s">
        <v>99</v>
      </c>
      <c r="B66" s="224"/>
      <c r="C66" s="224"/>
      <c r="D66" s="224"/>
      <c r="E66" s="239"/>
      <c r="F66" s="225">
        <f t="shared" ref="F66:O66" si="24">SUM(F63:F65)</f>
        <v>294000</v>
      </c>
      <c r="G66" s="225">
        <f t="shared" si="24"/>
        <v>8437.7999999999993</v>
      </c>
      <c r="H66" s="225">
        <f t="shared" si="24"/>
        <v>8937.6</v>
      </c>
      <c r="I66" s="225">
        <f t="shared" si="24"/>
        <v>9598.9</v>
      </c>
      <c r="J66" s="225">
        <f t="shared" si="24"/>
        <v>26974.299999999996</v>
      </c>
      <c r="K66" s="225">
        <f t="shared" si="24"/>
        <v>267025.7</v>
      </c>
      <c r="L66" s="225">
        <f t="shared" si="24"/>
        <v>32505.236875000002</v>
      </c>
      <c r="M66" s="225">
        <f t="shared" si="24"/>
        <v>32308.54</v>
      </c>
      <c r="N66" s="225">
        <f t="shared" si="24"/>
        <v>91788.076874999999</v>
      </c>
      <c r="O66" s="225">
        <f t="shared" si="24"/>
        <v>202211.92312500003</v>
      </c>
      <c r="P66" s="339"/>
    </row>
    <row r="67" spans="1:16" s="226" customFormat="1" ht="35.1" customHeight="1" thickBot="1" x14ac:dyDescent="0.25">
      <c r="A67" s="364" t="s">
        <v>128</v>
      </c>
      <c r="B67" s="365"/>
      <c r="C67" s="365"/>
      <c r="D67" s="246"/>
      <c r="E67" s="246"/>
      <c r="F67" s="246"/>
      <c r="G67" s="246"/>
      <c r="H67" s="246"/>
      <c r="I67" s="246"/>
      <c r="J67" s="246"/>
      <c r="K67" s="246"/>
      <c r="L67" s="246"/>
      <c r="M67" s="249"/>
      <c r="N67" s="246"/>
      <c r="O67" s="246"/>
    </row>
    <row r="68" spans="1:16" s="148" customFormat="1" ht="35.1" customHeight="1" x14ac:dyDescent="0.2">
      <c r="A68" s="237">
        <f>+A65+1</f>
        <v>33</v>
      </c>
      <c r="B68" s="244" t="s">
        <v>46</v>
      </c>
      <c r="C68" s="237" t="s">
        <v>335</v>
      </c>
      <c r="D68" s="250" t="s">
        <v>155</v>
      </c>
      <c r="E68" s="238" t="s">
        <v>97</v>
      </c>
      <c r="F68" s="69">
        <v>138000</v>
      </c>
      <c r="G68" s="68">
        <f>F68*2.87%</f>
        <v>3960.6</v>
      </c>
      <c r="H68" s="68">
        <f>+F68*3.04%</f>
        <v>4195.2</v>
      </c>
      <c r="I68" s="69"/>
      <c r="J68" s="69">
        <f>+G68+H68+I68</f>
        <v>8155.7999999999993</v>
      </c>
      <c r="K68" s="69">
        <f>+F68-J68</f>
        <v>129844.2</v>
      </c>
      <c r="L68" s="69">
        <f>+IF(K68*12&lt;=416220.01,0,IF(K68*12&lt;=624329.01,(((K68*12-416220.01)*0.15)/12),IF((K68*12&lt;=867123.01),(31216+0.2*(K68*12-624329.01))/12,((79776+0.25*(K68*12-867123.01))/12))))</f>
        <v>21043.987291666665</v>
      </c>
      <c r="M68" s="217">
        <v>37548.35</v>
      </c>
      <c r="N68" s="215">
        <f>+M68+I68+H68+G68+L68</f>
        <v>66748.137291666659</v>
      </c>
      <c r="O68" s="217">
        <f>+F68-N68</f>
        <v>71251.862708333341</v>
      </c>
    </row>
    <row r="69" spans="1:16" s="252" customFormat="1" ht="35.1" customHeight="1" x14ac:dyDescent="0.2">
      <c r="A69" s="235">
        <f>+A68+1</f>
        <v>34</v>
      </c>
      <c r="B69" s="72" t="s">
        <v>45</v>
      </c>
      <c r="C69" s="73" t="s">
        <v>335</v>
      </c>
      <c r="D69" s="233" t="s">
        <v>72</v>
      </c>
      <c r="E69" s="72" t="s">
        <v>96</v>
      </c>
      <c r="F69" s="216">
        <v>60000</v>
      </c>
      <c r="G69" s="216">
        <f>F69*2.87%</f>
        <v>1722</v>
      </c>
      <c r="H69" s="68">
        <f>+F69*3.04%</f>
        <v>1824</v>
      </c>
      <c r="I69" s="68"/>
      <c r="J69" s="69">
        <f>+G69+H69+I69</f>
        <v>3546</v>
      </c>
      <c r="K69" s="69">
        <f>+F69-J69</f>
        <v>56454</v>
      </c>
      <c r="L69" s="69">
        <f>+IF(K69*12&lt;=416220.01,0,IF(K69*12&lt;=624329.01,(((K69*12-416220.01)*0.15)/12),IF((K69*12&lt;=867123.01),(31216+0.2*(K69*12-624329.01))/12,((79776+0.25*(K69*12-867123.01))/12))))</f>
        <v>3486.6498333333329</v>
      </c>
      <c r="M69" s="84">
        <v>1290.29</v>
      </c>
      <c r="N69" s="215">
        <f>+M69+I69+H69+G69+L69</f>
        <v>8322.9398333333338</v>
      </c>
      <c r="O69" s="84">
        <f>+F69-N69</f>
        <v>51677.060166666663</v>
      </c>
    </row>
    <row r="70" spans="1:16" s="219" customFormat="1" ht="35.1" customHeight="1" x14ac:dyDescent="0.2">
      <c r="A70" s="223" t="s">
        <v>99</v>
      </c>
      <c r="B70" s="224"/>
      <c r="C70" s="224"/>
      <c r="D70" s="224"/>
      <c r="E70" s="239"/>
      <c r="F70" s="225">
        <f t="shared" ref="F70:L70" si="25">SUM(F68:F69)</f>
        <v>198000</v>
      </c>
      <c r="G70" s="225">
        <f t="shared" si="25"/>
        <v>5682.6</v>
      </c>
      <c r="H70" s="225">
        <f t="shared" si="25"/>
        <v>6019.2</v>
      </c>
      <c r="I70" s="225">
        <f t="shared" si="25"/>
        <v>0</v>
      </c>
      <c r="J70" s="225">
        <f t="shared" si="25"/>
        <v>11701.8</v>
      </c>
      <c r="K70" s="225">
        <f t="shared" si="25"/>
        <v>186298.2</v>
      </c>
      <c r="L70" s="225">
        <f t="shared" si="25"/>
        <v>24530.637124999997</v>
      </c>
      <c r="M70" s="225">
        <f>SUM(M68:M69)</f>
        <v>38838.639999999999</v>
      </c>
      <c r="N70" s="225">
        <f>SUM(N68:N69)</f>
        <v>75071.077124999996</v>
      </c>
      <c r="O70" s="225">
        <f>SUM(O68:O69)</f>
        <v>122928.922875</v>
      </c>
      <c r="P70" s="339"/>
    </row>
    <row r="71" spans="1:16" s="242" customFormat="1" ht="35.1" customHeight="1" thickBot="1" x14ac:dyDescent="0.25">
      <c r="A71" s="203"/>
      <c r="B71" s="147"/>
      <c r="C71" s="203"/>
      <c r="D71" s="147"/>
      <c r="E71" s="147"/>
      <c r="F71" s="148"/>
      <c r="G71" s="148"/>
      <c r="H71" s="148"/>
      <c r="I71" s="148"/>
      <c r="J71" s="148"/>
      <c r="K71" s="148"/>
      <c r="L71" s="148"/>
      <c r="M71" s="148"/>
      <c r="N71" s="148"/>
      <c r="O71" s="148"/>
    </row>
    <row r="72" spans="1:16" s="218" customFormat="1" ht="35.1" customHeight="1" thickBot="1" x14ac:dyDescent="0.25">
      <c r="A72" s="364" t="s">
        <v>129</v>
      </c>
      <c r="B72" s="365"/>
      <c r="C72" s="365"/>
      <c r="D72" s="365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</row>
    <row r="73" spans="1:16" s="242" customFormat="1" ht="35.1" customHeight="1" x14ac:dyDescent="0.2">
      <c r="A73" s="235">
        <f>+A69+1</f>
        <v>35</v>
      </c>
      <c r="B73" s="72" t="s">
        <v>431</v>
      </c>
      <c r="C73" s="73" t="s">
        <v>335</v>
      </c>
      <c r="D73" s="233" t="s">
        <v>575</v>
      </c>
      <c r="E73" s="72" t="s">
        <v>469</v>
      </c>
      <c r="F73" s="216">
        <v>110000</v>
      </c>
      <c r="G73" s="69">
        <f>F73*2.87%</f>
        <v>3157</v>
      </c>
      <c r="H73" s="69">
        <f>+F73*3.04%</f>
        <v>3344</v>
      </c>
      <c r="I73" s="68">
        <v>1919.78</v>
      </c>
      <c r="J73" s="69">
        <f>+G73+H73+I73</f>
        <v>8420.7800000000007</v>
      </c>
      <c r="K73" s="69">
        <f>+F73-J73</f>
        <v>101579.22</v>
      </c>
      <c r="L73" s="69">
        <f>+IF(K73*12&lt;=416220.01,0,IF(K73*12&lt;=624329.01,(((K73*12-416220.01)*0.15)/12),IF((K73*12&lt;=867123.01),(31216+0.2*(K73*12-624329.01))/12,((79776+0.25*(K73*12-867123.01))/12))))</f>
        <v>13977.742291666669</v>
      </c>
      <c r="M73" s="84">
        <v>25</v>
      </c>
      <c r="N73" s="215">
        <f>+M73+I73+H73+G73+L73</f>
        <v>22423.522291666668</v>
      </c>
      <c r="O73" s="84">
        <f>+F73-N73</f>
        <v>87576.477708333332</v>
      </c>
    </row>
    <row r="74" spans="1:16" s="219" customFormat="1" ht="35.1" customHeight="1" x14ac:dyDescent="0.2">
      <c r="A74" s="235">
        <f>+A73+1</f>
        <v>36</v>
      </c>
      <c r="B74" s="72" t="s">
        <v>230</v>
      </c>
      <c r="C74" s="73" t="s">
        <v>335</v>
      </c>
      <c r="D74" s="233" t="s">
        <v>575</v>
      </c>
      <c r="E74" s="72" t="s">
        <v>96</v>
      </c>
      <c r="F74" s="216">
        <v>90000</v>
      </c>
      <c r="G74" s="216">
        <f>F74*2.87%</f>
        <v>2583</v>
      </c>
      <c r="H74" s="68">
        <f>+F74*3.04%</f>
        <v>2736</v>
      </c>
      <c r="I74" s="68">
        <v>1919.78</v>
      </c>
      <c r="J74" s="69">
        <f>+G74+H74+I74</f>
        <v>7238.78</v>
      </c>
      <c r="K74" s="69">
        <f>+F74-J74</f>
        <v>82761.22</v>
      </c>
      <c r="L74" s="69">
        <f t="shared" ref="L74:L76" si="26">+IF(K74*12&lt;=416220.01,0,IF(K74*12&lt;=624329.01,(((K74*12-416220.01)*0.15)/12),IF((K74*12&lt;=867123.01),(31216+0.2*(K74*12-624329.01))/12,((79776+0.25*(K74*12-867123.01))/12))))</f>
        <v>9273.2422916666674</v>
      </c>
      <c r="M74" s="217">
        <v>14950.29</v>
      </c>
      <c r="N74" s="215">
        <f>+M74+I74+H74+G74+L74</f>
        <v>31462.312291666669</v>
      </c>
      <c r="O74" s="84">
        <f>+F74-N74</f>
        <v>58537.687708333331</v>
      </c>
    </row>
    <row r="75" spans="1:16" s="148" customFormat="1" ht="35.1" customHeight="1" x14ac:dyDescent="0.2">
      <c r="A75" s="235">
        <f>+A74+1</f>
        <v>37</v>
      </c>
      <c r="B75" s="72" t="s">
        <v>368</v>
      </c>
      <c r="C75" s="73" t="s">
        <v>334</v>
      </c>
      <c r="D75" s="233" t="s">
        <v>575</v>
      </c>
      <c r="E75" s="72" t="s">
        <v>469</v>
      </c>
      <c r="F75" s="216">
        <v>90000</v>
      </c>
      <c r="G75" s="69">
        <f>F75*2.87%</f>
        <v>2583</v>
      </c>
      <c r="H75" s="69">
        <f>+F75*3.04%</f>
        <v>2736</v>
      </c>
      <c r="I75" s="69"/>
      <c r="J75" s="69">
        <f>+G75+H75+I75</f>
        <v>5319</v>
      </c>
      <c r="K75" s="69">
        <f>+F75-J75</f>
        <v>84681</v>
      </c>
      <c r="L75" s="69">
        <f t="shared" si="26"/>
        <v>9753.1872916666671</v>
      </c>
      <c r="M75" s="84">
        <v>1290.29</v>
      </c>
      <c r="N75" s="215">
        <f>+M75+I75+H75+G75+L75</f>
        <v>16362.477291666666</v>
      </c>
      <c r="O75" s="84">
        <f>+F75-N75</f>
        <v>73637.52270833333</v>
      </c>
    </row>
    <row r="76" spans="1:16" s="148" customFormat="1" ht="35.1" customHeight="1" x14ac:dyDescent="0.2">
      <c r="A76" s="235">
        <f>+A75+1</f>
        <v>38</v>
      </c>
      <c r="B76" s="72" t="s">
        <v>586</v>
      </c>
      <c r="C76" s="73" t="s">
        <v>335</v>
      </c>
      <c r="D76" s="233" t="s">
        <v>575</v>
      </c>
      <c r="E76" s="72" t="s">
        <v>469</v>
      </c>
      <c r="F76" s="216">
        <v>90000</v>
      </c>
      <c r="G76" s="69">
        <f>F76*2.87%</f>
        <v>2583</v>
      </c>
      <c r="H76" s="69">
        <f>+F76*3.04%</f>
        <v>2736</v>
      </c>
      <c r="I76" s="69"/>
      <c r="J76" s="69">
        <f>+G76+H76+I76</f>
        <v>5319</v>
      </c>
      <c r="K76" s="69">
        <f>+F76-J76</f>
        <v>84681</v>
      </c>
      <c r="L76" s="69">
        <f t="shared" si="26"/>
        <v>9753.1872916666671</v>
      </c>
      <c r="M76" s="84">
        <v>225</v>
      </c>
      <c r="N76" s="215">
        <f>+M76+I76+H76+G76+L76</f>
        <v>15297.187291666667</v>
      </c>
      <c r="O76" s="84">
        <f>+F76-N76</f>
        <v>74702.812708333338</v>
      </c>
    </row>
    <row r="77" spans="1:16" s="148" customFormat="1" ht="35.1" customHeight="1" x14ac:dyDescent="0.2">
      <c r="A77" s="223" t="s">
        <v>99</v>
      </c>
      <c r="B77" s="224"/>
      <c r="C77" s="224"/>
      <c r="D77" s="224"/>
      <c r="E77" s="239"/>
      <c r="F77" s="225">
        <f>SUM(F73:F76)</f>
        <v>380000</v>
      </c>
      <c r="G77" s="225">
        <f t="shared" ref="G77:O77" si="27">SUM(G73:G76)</f>
        <v>10906</v>
      </c>
      <c r="H77" s="225">
        <f t="shared" si="27"/>
        <v>11552</v>
      </c>
      <c r="I77" s="225">
        <f t="shared" si="27"/>
        <v>3839.56</v>
      </c>
      <c r="J77" s="225">
        <f t="shared" si="27"/>
        <v>26297.56</v>
      </c>
      <c r="K77" s="225">
        <f t="shared" si="27"/>
        <v>353702.44</v>
      </c>
      <c r="L77" s="225">
        <f t="shared" si="27"/>
        <v>42757.359166666676</v>
      </c>
      <c r="M77" s="225">
        <f t="shared" si="27"/>
        <v>16490.580000000002</v>
      </c>
      <c r="N77" s="225">
        <f t="shared" si="27"/>
        <v>85545.499166666661</v>
      </c>
      <c r="O77" s="225">
        <f t="shared" si="27"/>
        <v>294454.50083333335</v>
      </c>
      <c r="P77" s="339"/>
    </row>
    <row r="78" spans="1:16" s="219" customFormat="1" ht="35.1" customHeight="1" thickBot="1" x14ac:dyDescent="0.25">
      <c r="A78" s="203"/>
      <c r="B78" s="147"/>
      <c r="C78" s="203"/>
      <c r="D78" s="228"/>
      <c r="E78" s="147"/>
      <c r="F78" s="148"/>
      <c r="G78" s="148"/>
      <c r="H78" s="148"/>
      <c r="I78" s="148"/>
      <c r="J78" s="148"/>
      <c r="K78" s="148"/>
      <c r="L78" s="148"/>
      <c r="M78" s="148"/>
      <c r="N78" s="148"/>
      <c r="O78" s="148"/>
    </row>
    <row r="79" spans="1:16" s="219" customFormat="1" ht="35.1" customHeight="1" thickBot="1" x14ac:dyDescent="0.25">
      <c r="A79" s="364" t="s">
        <v>130</v>
      </c>
      <c r="B79" s="365"/>
      <c r="C79" s="365"/>
      <c r="D79" s="365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</row>
    <row r="80" spans="1:16" s="148" customFormat="1" ht="35.1" customHeight="1" x14ac:dyDescent="0.2">
      <c r="A80" s="73">
        <f>+A76+1</f>
        <v>39</v>
      </c>
      <c r="B80" s="253" t="s">
        <v>131</v>
      </c>
      <c r="C80" s="254" t="s">
        <v>335</v>
      </c>
      <c r="D80" s="72" t="s">
        <v>575</v>
      </c>
      <c r="E80" s="72" t="s">
        <v>97</v>
      </c>
      <c r="F80" s="255">
        <v>100000</v>
      </c>
      <c r="G80" s="216">
        <f>F80*2.87%</f>
        <v>2870</v>
      </c>
      <c r="H80" s="216">
        <f>+F80*3.04%</f>
        <v>3040</v>
      </c>
      <c r="I80" s="216">
        <f>1919.78*2</f>
        <v>3839.56</v>
      </c>
      <c r="J80" s="216">
        <f>+G80+H80+I80</f>
        <v>9749.56</v>
      </c>
      <c r="K80" s="216">
        <f>+F80-J80</f>
        <v>90250.44</v>
      </c>
      <c r="L80" s="216">
        <f>+IF(K80*12&lt;=416220.01,0,IF(K80*12&lt;=624329.01,(((K80*12-416220.01)*0.15)/12),IF((K80*12&lt;=867123.01),(31216+0.2*(K80*12-624329.01))/12,((79776+0.25*(K80*12-867123.01))/12))))</f>
        <v>11145.547291666668</v>
      </c>
      <c r="M80" s="221">
        <v>10922.97</v>
      </c>
      <c r="N80" s="216">
        <f>+M80+I80+H80+G80+L80</f>
        <v>31818.077291666668</v>
      </c>
      <c r="O80" s="221">
        <f>+F80-N80</f>
        <v>68181.922708333324</v>
      </c>
    </row>
    <row r="81" spans="1:16" s="148" customFormat="1" ht="35.1" customHeight="1" x14ac:dyDescent="0.2">
      <c r="A81" s="73">
        <f>+A80+1</f>
        <v>40</v>
      </c>
      <c r="B81" s="253" t="s">
        <v>33</v>
      </c>
      <c r="C81" s="254" t="s">
        <v>335</v>
      </c>
      <c r="D81" s="72" t="s">
        <v>575</v>
      </c>
      <c r="E81" s="72" t="s">
        <v>97</v>
      </c>
      <c r="F81" s="255">
        <v>95000</v>
      </c>
      <c r="G81" s="216">
        <f>F81*2.87%</f>
        <v>2726.5</v>
      </c>
      <c r="H81" s="216">
        <f>+F81*3.04%</f>
        <v>2888</v>
      </c>
      <c r="I81" s="216"/>
      <c r="J81" s="216">
        <f>+G81+H81+I81</f>
        <v>5614.5</v>
      </c>
      <c r="K81" s="216">
        <f>+F81-J81</f>
        <v>89385.5</v>
      </c>
      <c r="L81" s="216">
        <f t="shared" ref="L81:L82" si="28">+IF(K81*12&lt;=416220.01,0,IF(K81*12&lt;=624329.01,(((K81*12-416220.01)*0.15)/12),IF((K81*12&lt;=867123.01),(31216+0.2*(K81*12-624329.01))/12,((79776+0.25*(K81*12-867123.01))/12))))</f>
        <v>10929.312291666667</v>
      </c>
      <c r="M81" s="221">
        <v>225</v>
      </c>
      <c r="N81" s="216">
        <f>+M81+I81+H81+G81+L81</f>
        <v>16768.812291666669</v>
      </c>
      <c r="O81" s="221">
        <f>+F81-N81</f>
        <v>78231.187708333338</v>
      </c>
    </row>
    <row r="82" spans="1:16" s="148" customFormat="1" ht="35.1" customHeight="1" x14ac:dyDescent="0.2">
      <c r="A82" s="213">
        <f>+A81+1</f>
        <v>41</v>
      </c>
      <c r="B82" s="253" t="s">
        <v>59</v>
      </c>
      <c r="C82" s="254" t="s">
        <v>335</v>
      </c>
      <c r="D82" s="72" t="s">
        <v>575</v>
      </c>
      <c r="E82" s="72" t="s">
        <v>96</v>
      </c>
      <c r="F82" s="255">
        <v>90000</v>
      </c>
      <c r="G82" s="216">
        <f>F82*2.87%</f>
        <v>2583</v>
      </c>
      <c r="H82" s="216">
        <f>+F82*3.04%</f>
        <v>2736</v>
      </c>
      <c r="I82" s="216">
        <v>1919.78</v>
      </c>
      <c r="J82" s="215">
        <f>+G82+H82+I82</f>
        <v>7238.78</v>
      </c>
      <c r="K82" s="215">
        <f>+F82-J82</f>
        <v>82761.22</v>
      </c>
      <c r="L82" s="216">
        <f t="shared" si="28"/>
        <v>9273.2422916666674</v>
      </c>
      <c r="M82" s="221">
        <v>12984.12</v>
      </c>
      <c r="N82" s="215">
        <f>+M82+I82+H82+G82+L82</f>
        <v>29496.142291666671</v>
      </c>
      <c r="O82" s="217">
        <f>+F82-N82</f>
        <v>60503.857708333329</v>
      </c>
    </row>
    <row r="83" spans="1:16" s="148" customFormat="1" ht="35.1" customHeight="1" x14ac:dyDescent="0.2">
      <c r="A83" s="223" t="s">
        <v>99</v>
      </c>
      <c r="B83" s="224"/>
      <c r="C83" s="224"/>
      <c r="D83" s="224"/>
      <c r="E83" s="239"/>
      <c r="F83" s="225">
        <f t="shared" ref="F83:O83" si="29">SUM(F80:F82)</f>
        <v>285000</v>
      </c>
      <c r="G83" s="225">
        <f t="shared" si="29"/>
        <v>8179.5</v>
      </c>
      <c r="H83" s="225">
        <f t="shared" si="29"/>
        <v>8664</v>
      </c>
      <c r="I83" s="225">
        <f t="shared" si="29"/>
        <v>5759.34</v>
      </c>
      <c r="J83" s="225">
        <f t="shared" si="29"/>
        <v>22602.84</v>
      </c>
      <c r="K83" s="225">
        <f t="shared" si="29"/>
        <v>262397.16000000003</v>
      </c>
      <c r="L83" s="225">
        <f t="shared" si="29"/>
        <v>31348.101875</v>
      </c>
      <c r="M83" s="225">
        <f t="shared" si="29"/>
        <v>24132.09</v>
      </c>
      <c r="N83" s="225">
        <f t="shared" si="29"/>
        <v>78083.031875000015</v>
      </c>
      <c r="O83" s="225">
        <f t="shared" si="29"/>
        <v>206916.96812499998</v>
      </c>
      <c r="P83" s="339"/>
    </row>
    <row r="84" spans="1:16" s="148" customFormat="1" ht="35.1" customHeight="1" thickBot="1" x14ac:dyDescent="0.25">
      <c r="A84" s="203"/>
      <c r="B84" s="147"/>
      <c r="C84" s="203"/>
      <c r="D84" s="228"/>
      <c r="E84" s="147"/>
    </row>
    <row r="85" spans="1:16" s="148" customFormat="1" ht="35.1" customHeight="1" thickBot="1" x14ac:dyDescent="0.25">
      <c r="A85" s="354" t="s">
        <v>132</v>
      </c>
      <c r="B85" s="355"/>
      <c r="C85" s="355"/>
      <c r="D85" s="355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</row>
    <row r="86" spans="1:16" s="148" customFormat="1" ht="35.1" customHeight="1" x14ac:dyDescent="0.2">
      <c r="A86" s="235">
        <f>+A82+1</f>
        <v>42</v>
      </c>
      <c r="B86" s="238" t="s">
        <v>67</v>
      </c>
      <c r="C86" s="235" t="s">
        <v>335</v>
      </c>
      <c r="D86" s="250" t="s">
        <v>575</v>
      </c>
      <c r="E86" s="238" t="s">
        <v>97</v>
      </c>
      <c r="F86" s="68">
        <v>100000</v>
      </c>
      <c r="G86" s="216">
        <f>F86*2.87%</f>
        <v>2870</v>
      </c>
      <c r="H86" s="216">
        <f>+F86*3.04%</f>
        <v>3040</v>
      </c>
      <c r="I86" s="68">
        <v>0</v>
      </c>
      <c r="J86" s="69">
        <f>+G86+H86+I86</f>
        <v>5910</v>
      </c>
      <c r="K86" s="69">
        <f>+F86-J86</f>
        <v>94090</v>
      </c>
      <c r="L86" s="215">
        <f t="shared" ref="L86:L88" si="30">+IF(K86*12&lt;=416220.01,0,IF(K86*12&lt;=624329.01,(((K86*12-416220.01)*0.15)/12),IF((K86*12&lt;=867123.01),(31216+0.2*(K86*12-624329.01))/12,((79776+0.25*(K86*12-867123.01))/12))))</f>
        <v>12105.437291666667</v>
      </c>
      <c r="M86" s="221">
        <v>12126.21</v>
      </c>
      <c r="N86" s="215">
        <f>+M86+I86+H86+G86+L86</f>
        <v>30141.647291666668</v>
      </c>
      <c r="O86" s="84">
        <f>+F86-N86</f>
        <v>69858.352708333332</v>
      </c>
    </row>
    <row r="87" spans="1:16" s="148" customFormat="1" ht="35.1" customHeight="1" x14ac:dyDescent="0.2">
      <c r="A87" s="235">
        <f>+A86+1</f>
        <v>43</v>
      </c>
      <c r="B87" s="238" t="s">
        <v>214</v>
      </c>
      <c r="C87" s="235" t="s">
        <v>335</v>
      </c>
      <c r="D87" s="250" t="s">
        <v>575</v>
      </c>
      <c r="E87" s="238" t="s">
        <v>96</v>
      </c>
      <c r="F87" s="68">
        <v>95000</v>
      </c>
      <c r="G87" s="216">
        <f>F87*2.87%</f>
        <v>2726.5</v>
      </c>
      <c r="H87" s="216">
        <f>+F87*3.04%</f>
        <v>2888</v>
      </c>
      <c r="I87" s="216"/>
      <c r="J87" s="69">
        <f>+G87+H87+I87</f>
        <v>5614.5</v>
      </c>
      <c r="K87" s="69">
        <f>+F87-J87</f>
        <v>89385.5</v>
      </c>
      <c r="L87" s="215">
        <f t="shared" si="30"/>
        <v>10929.312291666667</v>
      </c>
      <c r="M87" s="221">
        <v>11401.74</v>
      </c>
      <c r="N87" s="215">
        <f>+M87+I87+H87+G87+L87</f>
        <v>27945.552291666667</v>
      </c>
      <c r="O87" s="84">
        <f>+F87-N87</f>
        <v>67054.447708333333</v>
      </c>
    </row>
    <row r="88" spans="1:16" s="148" customFormat="1" ht="35.1" customHeight="1" x14ac:dyDescent="0.2">
      <c r="A88" s="235">
        <f>+A87+1</f>
        <v>44</v>
      </c>
      <c r="B88" s="238" t="s">
        <v>212</v>
      </c>
      <c r="C88" s="235" t="s">
        <v>335</v>
      </c>
      <c r="D88" s="250" t="s">
        <v>575</v>
      </c>
      <c r="E88" s="238" t="s">
        <v>96</v>
      </c>
      <c r="F88" s="68">
        <v>85000</v>
      </c>
      <c r="G88" s="68">
        <v>2439.5</v>
      </c>
      <c r="H88" s="68">
        <v>2584</v>
      </c>
      <c r="I88" s="68"/>
      <c r="J88" s="69">
        <f>+G88+H88+I88</f>
        <v>5023.5</v>
      </c>
      <c r="K88" s="69">
        <f>+F88-J88</f>
        <v>79976.5</v>
      </c>
      <c r="L88" s="215">
        <f t="shared" si="30"/>
        <v>8577.0622916666671</v>
      </c>
      <c r="M88" s="221">
        <v>1290.29</v>
      </c>
      <c r="N88" s="215">
        <f>+M88+I88+H88+G88+L88</f>
        <v>14890.852291666666</v>
      </c>
      <c r="O88" s="84">
        <f>+F88-N88</f>
        <v>70109.14770833333</v>
      </c>
    </row>
    <row r="89" spans="1:16" s="206" customFormat="1" ht="35.1" customHeight="1" x14ac:dyDescent="0.2">
      <c r="A89" s="223" t="s">
        <v>99</v>
      </c>
      <c r="B89" s="224"/>
      <c r="C89" s="224"/>
      <c r="D89" s="224"/>
      <c r="E89" s="239"/>
      <c r="F89" s="225">
        <f t="shared" ref="F89:O89" si="31">SUM(F86:F88)</f>
        <v>280000</v>
      </c>
      <c r="G89" s="225">
        <f t="shared" si="31"/>
        <v>8036</v>
      </c>
      <c r="H89" s="225">
        <f t="shared" si="31"/>
        <v>8512</v>
      </c>
      <c r="I89" s="225">
        <f t="shared" si="31"/>
        <v>0</v>
      </c>
      <c r="J89" s="225">
        <f t="shared" si="31"/>
        <v>16548</v>
      </c>
      <c r="K89" s="225">
        <f t="shared" si="31"/>
        <v>263452</v>
      </c>
      <c r="L89" s="225">
        <f t="shared" si="31"/>
        <v>31611.811874999999</v>
      </c>
      <c r="M89" s="225">
        <f t="shared" si="31"/>
        <v>24818.239999999998</v>
      </c>
      <c r="N89" s="225">
        <f t="shared" si="31"/>
        <v>72978.051875000005</v>
      </c>
      <c r="O89" s="225">
        <f t="shared" si="31"/>
        <v>207021.948125</v>
      </c>
      <c r="P89" s="341"/>
    </row>
    <row r="90" spans="1:16" s="219" customFormat="1" ht="35.1" customHeight="1" thickBot="1" x14ac:dyDescent="0.25">
      <c r="A90" s="203"/>
      <c r="B90" s="147"/>
      <c r="C90" s="203"/>
      <c r="D90" s="147"/>
      <c r="E90" s="147"/>
      <c r="F90" s="148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6" s="219" customFormat="1" ht="35.1" customHeight="1" thickBot="1" x14ac:dyDescent="0.25">
      <c r="A91" s="352" t="s">
        <v>134</v>
      </c>
      <c r="B91" s="353"/>
      <c r="C91" s="353"/>
      <c r="D91" s="353"/>
      <c r="E91" s="353"/>
      <c r="F91" s="246"/>
      <c r="G91" s="246"/>
      <c r="H91" s="246"/>
      <c r="I91" s="246"/>
      <c r="J91" s="246"/>
      <c r="K91" s="246"/>
      <c r="L91" s="246"/>
      <c r="M91" s="246"/>
      <c r="N91" s="246"/>
      <c r="O91" s="246"/>
    </row>
    <row r="92" spans="1:16" s="148" customFormat="1" ht="35.1" customHeight="1" x14ac:dyDescent="0.2">
      <c r="A92" s="237">
        <f>+A88+1</f>
        <v>45</v>
      </c>
      <c r="B92" s="244" t="s">
        <v>49</v>
      </c>
      <c r="C92" s="237" t="s">
        <v>335</v>
      </c>
      <c r="D92" s="256" t="s">
        <v>157</v>
      </c>
      <c r="E92" s="238" t="s">
        <v>97</v>
      </c>
      <c r="F92" s="69">
        <v>155250</v>
      </c>
      <c r="G92" s="69">
        <v>4455.6750000000002</v>
      </c>
      <c r="H92" s="68">
        <f>+F92*3.04%</f>
        <v>4719.6000000000004</v>
      </c>
      <c r="I92" s="216">
        <v>0</v>
      </c>
      <c r="J92" s="69">
        <f>+G92+H92+I92</f>
        <v>9175.2750000000015</v>
      </c>
      <c r="K92" s="69">
        <f>+F92-J92</f>
        <v>146074.72500000001</v>
      </c>
      <c r="L92" s="215">
        <f>+IF(K92*12&lt;=416220.01,0,IF(K92*12&lt;=624329.01,(((K92*12-416220.01)*0.15)/12),IF((K92*12&lt;=867123.01),(31216+0.2*(K92*12-624329.01))/12,((79776+0.25*(K92*12-867123.01))/12))))</f>
        <v>25101.61854166667</v>
      </c>
      <c r="M92" s="234">
        <v>22959.73</v>
      </c>
      <c r="N92" s="215">
        <f>+M92+I92+H92+G92+L92</f>
        <v>57236.623541666675</v>
      </c>
      <c r="O92" s="84">
        <f>+F92-N92</f>
        <v>98013.376458333325</v>
      </c>
    </row>
    <row r="93" spans="1:16" s="148" customFormat="1" ht="35.1" customHeight="1" x14ac:dyDescent="0.2">
      <c r="A93" s="223" t="s">
        <v>99</v>
      </c>
      <c r="B93" s="224"/>
      <c r="C93" s="224"/>
      <c r="D93" s="224"/>
      <c r="E93" s="239"/>
      <c r="F93" s="225">
        <f t="shared" ref="F93:L93" si="32">SUM(F92:F92)</f>
        <v>155250</v>
      </c>
      <c r="G93" s="225">
        <f t="shared" si="32"/>
        <v>4455.6750000000002</v>
      </c>
      <c r="H93" s="225">
        <f t="shared" si="32"/>
        <v>4719.6000000000004</v>
      </c>
      <c r="I93" s="225">
        <f t="shared" si="32"/>
        <v>0</v>
      </c>
      <c r="J93" s="225">
        <f t="shared" si="32"/>
        <v>9175.2750000000015</v>
      </c>
      <c r="K93" s="225">
        <f t="shared" si="32"/>
        <v>146074.72500000001</v>
      </c>
      <c r="L93" s="225">
        <f t="shared" si="32"/>
        <v>25101.61854166667</v>
      </c>
      <c r="M93" s="225">
        <f>SUM(M92:M92)</f>
        <v>22959.73</v>
      </c>
      <c r="N93" s="225">
        <f>SUM(N92:N92)</f>
        <v>57236.623541666675</v>
      </c>
      <c r="O93" s="225">
        <f>SUM(O92:O92)</f>
        <v>98013.376458333325</v>
      </c>
      <c r="P93" s="339"/>
    </row>
    <row r="94" spans="1:16" s="148" customFormat="1" ht="35.1" customHeight="1" thickBot="1" x14ac:dyDescent="0.25">
      <c r="A94" s="218"/>
      <c r="B94" s="218"/>
      <c r="C94" s="243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</row>
    <row r="95" spans="1:16" s="252" customFormat="1" ht="35.1" customHeight="1" thickBot="1" x14ac:dyDescent="0.25">
      <c r="A95" s="352" t="s">
        <v>136</v>
      </c>
      <c r="B95" s="353"/>
      <c r="C95" s="353"/>
      <c r="D95" s="353"/>
      <c r="E95" s="353"/>
      <c r="F95" s="246"/>
      <c r="G95" s="246"/>
      <c r="H95" s="246"/>
      <c r="I95" s="246"/>
      <c r="J95" s="246"/>
      <c r="K95" s="246"/>
      <c r="L95" s="246"/>
      <c r="M95" s="246"/>
      <c r="N95" s="246"/>
      <c r="O95" s="246"/>
    </row>
    <row r="96" spans="1:16" s="219" customFormat="1" ht="35.1" customHeight="1" x14ac:dyDescent="0.2">
      <c r="A96" s="213">
        <f>+A92+1</f>
        <v>46</v>
      </c>
      <c r="B96" s="214" t="s">
        <v>215</v>
      </c>
      <c r="C96" s="213" t="s">
        <v>334</v>
      </c>
      <c r="D96" s="222" t="s">
        <v>575</v>
      </c>
      <c r="E96" s="214" t="s">
        <v>96</v>
      </c>
      <c r="F96" s="215">
        <v>100000</v>
      </c>
      <c r="G96" s="68">
        <f>F96*2.87%</f>
        <v>2870</v>
      </c>
      <c r="H96" s="216">
        <f>+F96*3.04%</f>
        <v>3040</v>
      </c>
      <c r="I96" s="216"/>
      <c r="J96" s="215">
        <f>+G96+H96+I96</f>
        <v>5910</v>
      </c>
      <c r="K96" s="215">
        <f>+F96-J96</f>
        <v>94090</v>
      </c>
      <c r="L96" s="215">
        <f t="shared" ref="L96:L99" si="33">+IF(K96*12&lt;=416220.01,0,IF(K96*12&lt;=624329.01,(((K96*12-416220.01)*0.15)/12),IF((K96*12&lt;=867123.01),(31216+0.2*(K96*12-624329.01))/12,((79776+0.25*(K96*12-867123.01))/12))))</f>
        <v>12105.437291666667</v>
      </c>
      <c r="M96" s="221">
        <v>10534.55</v>
      </c>
      <c r="N96" s="215">
        <f>+M96+I96+H96+G96+L96</f>
        <v>28549.987291666665</v>
      </c>
      <c r="O96" s="217">
        <f>+F96-N96</f>
        <v>71450.012708333335</v>
      </c>
    </row>
    <row r="97" spans="1:16" s="148" customFormat="1" ht="35.1" customHeight="1" x14ac:dyDescent="0.2">
      <c r="A97" s="213">
        <f>+A96+1</f>
        <v>47</v>
      </c>
      <c r="B97" s="214" t="s">
        <v>217</v>
      </c>
      <c r="C97" s="213" t="s">
        <v>335</v>
      </c>
      <c r="D97" s="222" t="s">
        <v>575</v>
      </c>
      <c r="E97" s="214" t="s">
        <v>96</v>
      </c>
      <c r="F97" s="215">
        <v>95000</v>
      </c>
      <c r="G97" s="216">
        <f>F97*2.87%</f>
        <v>2726.5</v>
      </c>
      <c r="H97" s="216">
        <f>+F97*3.04%</f>
        <v>2888</v>
      </c>
      <c r="I97" s="216"/>
      <c r="J97" s="215">
        <f>+G97+H97+I97</f>
        <v>5614.5</v>
      </c>
      <c r="K97" s="215">
        <f>+F97-J97</f>
        <v>89385.5</v>
      </c>
      <c r="L97" s="215">
        <f t="shared" si="33"/>
        <v>10929.312291666667</v>
      </c>
      <c r="M97" s="221">
        <v>225</v>
      </c>
      <c r="N97" s="215">
        <f>+M97+I97+H97+G97+L97</f>
        <v>16768.812291666669</v>
      </c>
      <c r="O97" s="217">
        <f>+F97-N97</f>
        <v>78231.187708333338</v>
      </c>
    </row>
    <row r="98" spans="1:16" ht="35.1" customHeight="1" x14ac:dyDescent="0.2">
      <c r="A98" s="213">
        <f>+A97+1</f>
        <v>48</v>
      </c>
      <c r="B98" s="214" t="s">
        <v>113</v>
      </c>
      <c r="C98" s="213" t="s">
        <v>335</v>
      </c>
      <c r="D98" s="222" t="s">
        <v>575</v>
      </c>
      <c r="E98" s="214" t="s">
        <v>96</v>
      </c>
      <c r="F98" s="215">
        <v>90000</v>
      </c>
      <c r="G98" s="216">
        <f>F98*2.87%</f>
        <v>2583</v>
      </c>
      <c r="H98" s="216">
        <f>+F98*3.04%</f>
        <v>2736</v>
      </c>
      <c r="I98" s="216"/>
      <c r="J98" s="215">
        <f>+G98+H98+I98</f>
        <v>5319</v>
      </c>
      <c r="K98" s="215">
        <f>+F98-J98</f>
        <v>84681</v>
      </c>
      <c r="L98" s="215">
        <f t="shared" si="33"/>
        <v>9753.1872916666671</v>
      </c>
      <c r="M98" s="234">
        <v>225</v>
      </c>
      <c r="N98" s="215">
        <f>+M98+I98+H98+G98+L98</f>
        <v>15297.187291666667</v>
      </c>
      <c r="O98" s="217">
        <f>+F98-N98</f>
        <v>74702.812708333338</v>
      </c>
    </row>
    <row r="99" spans="1:16" s="148" customFormat="1" ht="35.1" customHeight="1" x14ac:dyDescent="0.2">
      <c r="A99" s="213">
        <f>+A98+1</f>
        <v>49</v>
      </c>
      <c r="B99" s="72" t="s">
        <v>34</v>
      </c>
      <c r="C99" s="73" t="s">
        <v>335</v>
      </c>
      <c r="D99" s="72" t="s">
        <v>575</v>
      </c>
      <c r="E99" s="72" t="s">
        <v>165</v>
      </c>
      <c r="F99" s="216">
        <v>90000</v>
      </c>
      <c r="G99" s="68">
        <f>+F99*2.87%</f>
        <v>2583</v>
      </c>
      <c r="H99" s="68">
        <f>+F99*3.04%</f>
        <v>2736</v>
      </c>
      <c r="I99" s="68"/>
      <c r="J99" s="69">
        <f>+G99+H99+I99</f>
        <v>5319</v>
      </c>
      <c r="K99" s="69">
        <f>+F99-J99</f>
        <v>84681</v>
      </c>
      <c r="L99" s="215">
        <f t="shared" si="33"/>
        <v>9753.1872916666671</v>
      </c>
      <c r="M99" s="221">
        <v>225</v>
      </c>
      <c r="N99" s="215">
        <f>+M99+I99+H99+G99+L99</f>
        <v>15297.187291666667</v>
      </c>
      <c r="O99" s="234">
        <f>+F99-N99</f>
        <v>74702.812708333338</v>
      </c>
    </row>
    <row r="100" spans="1:16" s="148" customFormat="1" ht="35.1" customHeight="1" x14ac:dyDescent="0.2">
      <c r="A100" s="213">
        <f>+A99+1</f>
        <v>50</v>
      </c>
      <c r="B100" s="72" t="s">
        <v>587</v>
      </c>
      <c r="C100" s="300" t="s">
        <v>334</v>
      </c>
      <c r="D100" s="72" t="s">
        <v>575</v>
      </c>
      <c r="E100" s="263" t="s">
        <v>97</v>
      </c>
      <c r="F100" s="216">
        <v>80000</v>
      </c>
      <c r="G100" s="68">
        <f>+F100*2.87%</f>
        <v>2296</v>
      </c>
      <c r="H100" s="68">
        <f>+F100*3.04%</f>
        <v>2432</v>
      </c>
      <c r="I100" s="68"/>
      <c r="J100" s="69">
        <f>+G100+H100+I100</f>
        <v>4728</v>
      </c>
      <c r="K100" s="69">
        <f>+F100-J100</f>
        <v>75272</v>
      </c>
      <c r="L100" s="215">
        <v>0</v>
      </c>
      <c r="M100" s="221">
        <v>13513.51</v>
      </c>
      <c r="N100" s="215">
        <f>+M100+I100+H100+G100+L100</f>
        <v>18241.510000000002</v>
      </c>
      <c r="O100" s="234">
        <f>+F100-N100</f>
        <v>61758.49</v>
      </c>
    </row>
    <row r="101" spans="1:16" s="219" customFormat="1" ht="35.1" customHeight="1" x14ac:dyDescent="0.2">
      <c r="A101" s="73"/>
      <c r="B101" s="257"/>
      <c r="C101" s="258"/>
      <c r="D101" s="223" t="s">
        <v>99</v>
      </c>
      <c r="E101" s="239"/>
      <c r="F101" s="225">
        <f>SUM(F96:F100)</f>
        <v>455000</v>
      </c>
      <c r="G101" s="225">
        <f t="shared" ref="G101:L101" si="34">SUM(G96:G99)</f>
        <v>10762.5</v>
      </c>
      <c r="H101" s="225">
        <f>SUM(H96:H100)</f>
        <v>13832</v>
      </c>
      <c r="I101" s="225">
        <f t="shared" si="34"/>
        <v>0</v>
      </c>
      <c r="J101" s="225">
        <f t="shared" si="34"/>
        <v>22162.5</v>
      </c>
      <c r="K101" s="225">
        <f t="shared" si="34"/>
        <v>352837.5</v>
      </c>
      <c r="L101" s="225">
        <f t="shared" si="34"/>
        <v>42541.124166666668</v>
      </c>
      <c r="M101" s="225">
        <f>SUM(M96:M100)</f>
        <v>24723.059999999998</v>
      </c>
      <c r="N101" s="225">
        <f>SUM(N96:N100)</f>
        <v>94154.684166666673</v>
      </c>
      <c r="O101" s="225">
        <f>SUM(O96:O100)</f>
        <v>360845.31583333336</v>
      </c>
      <c r="P101" s="339"/>
    </row>
    <row r="102" spans="1:16" s="219" customFormat="1" ht="35.1" customHeight="1" thickBot="1" x14ac:dyDescent="0.25">
      <c r="A102" s="203"/>
      <c r="B102" s="147"/>
      <c r="C102" s="203"/>
      <c r="D102" s="228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</row>
    <row r="103" spans="1:16" s="148" customFormat="1" ht="35.1" customHeight="1" thickBot="1" x14ac:dyDescent="0.25">
      <c r="A103" s="352" t="s">
        <v>137</v>
      </c>
      <c r="B103" s="353"/>
      <c r="C103" s="353"/>
      <c r="D103" s="353"/>
      <c r="E103" s="353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</row>
    <row r="104" spans="1:16" s="219" customFormat="1" ht="35.1" customHeight="1" x14ac:dyDescent="0.2">
      <c r="A104" s="235">
        <f>+A100+1</f>
        <v>51</v>
      </c>
      <c r="B104" s="72" t="s">
        <v>463</v>
      </c>
      <c r="C104" s="73" t="s">
        <v>334</v>
      </c>
      <c r="D104" s="233" t="s">
        <v>464</v>
      </c>
      <c r="E104" s="238" t="s">
        <v>97</v>
      </c>
      <c r="F104" s="68">
        <v>190000</v>
      </c>
      <c r="G104" s="68">
        <f>F104*2.87%</f>
        <v>5453</v>
      </c>
      <c r="H104" s="68">
        <v>5776</v>
      </c>
      <c r="I104" s="68"/>
      <c r="J104" s="69">
        <f>+G104+H104+I104</f>
        <v>11229</v>
      </c>
      <c r="K104" s="69">
        <f>+F104-J104</f>
        <v>178771</v>
      </c>
      <c r="L104" s="69">
        <f t="shared" ref="L104:L105" si="35">+IF(K104*12&lt;=416220.01,0,IF(K104*12&lt;=624329.01,(((K104*12-416220.01)*0.15)/12),IF((K104*12&lt;=867123.01),(31216+0.2*(K104*12-624329.01))/12,((79776+0.25*(K104*12-867123.01))/12))))</f>
        <v>33275.687291666669</v>
      </c>
      <c r="M104" s="234">
        <v>25</v>
      </c>
      <c r="N104" s="215">
        <f>+M104+I104+H104+G104+L104</f>
        <v>44529.687291666669</v>
      </c>
      <c r="O104" s="84">
        <f>+F104-N104</f>
        <v>145470.31270833334</v>
      </c>
    </row>
    <row r="105" spans="1:16" s="219" customFormat="1" ht="35.1" customHeight="1" x14ac:dyDescent="0.2">
      <c r="A105" s="235">
        <f>+A104+1</f>
        <v>52</v>
      </c>
      <c r="B105" s="72" t="s">
        <v>57</v>
      </c>
      <c r="C105" s="73" t="s">
        <v>334</v>
      </c>
      <c r="D105" s="233" t="s">
        <v>426</v>
      </c>
      <c r="E105" s="238" t="s">
        <v>97</v>
      </c>
      <c r="F105" s="68">
        <v>115000</v>
      </c>
      <c r="G105" s="68">
        <f>F105*2.87%</f>
        <v>3300.5</v>
      </c>
      <c r="H105" s="68">
        <f>+F105*3.04%</f>
        <v>3496</v>
      </c>
      <c r="I105" s="68">
        <v>0</v>
      </c>
      <c r="J105" s="69">
        <f>+G105+H105+I105</f>
        <v>6796.5</v>
      </c>
      <c r="K105" s="69">
        <f>+F105-J105</f>
        <v>108203.5</v>
      </c>
      <c r="L105" s="69">
        <f t="shared" si="35"/>
        <v>15633.812291666667</v>
      </c>
      <c r="M105" s="234">
        <v>12663.37</v>
      </c>
      <c r="N105" s="215">
        <f>+M105+I105+H105+G105+L105</f>
        <v>35093.682291666672</v>
      </c>
      <c r="O105" s="84">
        <f>+F105-N105</f>
        <v>79906.317708333328</v>
      </c>
    </row>
    <row r="106" spans="1:16" s="98" customFormat="1" ht="35.1" customHeight="1" x14ac:dyDescent="0.2">
      <c r="A106" s="223" t="s">
        <v>99</v>
      </c>
      <c r="B106" s="224"/>
      <c r="C106" s="224"/>
      <c r="D106" s="224"/>
      <c r="E106" s="239"/>
      <c r="F106" s="225">
        <f t="shared" ref="F106:L106" si="36">SUM(F104:F105)</f>
        <v>305000</v>
      </c>
      <c r="G106" s="225">
        <f t="shared" si="36"/>
        <v>8753.5</v>
      </c>
      <c r="H106" s="225">
        <f t="shared" si="36"/>
        <v>9272</v>
      </c>
      <c r="I106" s="225">
        <f t="shared" si="36"/>
        <v>0</v>
      </c>
      <c r="J106" s="225">
        <f t="shared" si="36"/>
        <v>18025.5</v>
      </c>
      <c r="K106" s="225">
        <f t="shared" si="36"/>
        <v>286974.5</v>
      </c>
      <c r="L106" s="225">
        <f t="shared" si="36"/>
        <v>48909.499583333338</v>
      </c>
      <c r="M106" s="225">
        <f>SUM(M104:M105)</f>
        <v>12688.37</v>
      </c>
      <c r="N106" s="225">
        <f>SUM(N104:N105)</f>
        <v>79623.369583333348</v>
      </c>
      <c r="O106" s="225">
        <f>SUM(O104:O105)</f>
        <v>225376.63041666668</v>
      </c>
      <c r="P106" s="343"/>
    </row>
    <row r="107" spans="1:16" s="148" customFormat="1" ht="42.75" customHeight="1" thickBot="1" x14ac:dyDescent="0.25">
      <c r="A107" s="227"/>
      <c r="B107" s="260"/>
      <c r="C107" s="261"/>
      <c r="D107" s="260"/>
      <c r="E107" s="260"/>
      <c r="F107" s="262"/>
    </row>
    <row r="108" spans="1:16" s="242" customFormat="1" ht="35.1" customHeight="1" thickBot="1" x14ac:dyDescent="0.25">
      <c r="A108" s="352" t="s">
        <v>138</v>
      </c>
      <c r="B108" s="353"/>
      <c r="C108" s="353"/>
      <c r="D108" s="353"/>
      <c r="E108" s="353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</row>
    <row r="109" spans="1:16" s="219" customFormat="1" ht="35.1" customHeight="1" x14ac:dyDescent="0.2">
      <c r="A109" s="235">
        <f>+A105+1</f>
        <v>53</v>
      </c>
      <c r="B109" s="72" t="s">
        <v>219</v>
      </c>
      <c r="C109" s="73" t="s">
        <v>335</v>
      </c>
      <c r="D109" s="233" t="s">
        <v>575</v>
      </c>
      <c r="E109" s="72" t="s">
        <v>97</v>
      </c>
      <c r="F109" s="216">
        <v>95000</v>
      </c>
      <c r="G109" s="216">
        <f>F109*2.87%</f>
        <v>2726.5</v>
      </c>
      <c r="H109" s="216">
        <f>+F109*3.04%</f>
        <v>2888</v>
      </c>
      <c r="I109" s="216"/>
      <c r="J109" s="215">
        <f>+G109+H109+I109</f>
        <v>5614.5</v>
      </c>
      <c r="K109" s="215">
        <f>+F109-J109</f>
        <v>89385.5</v>
      </c>
      <c r="L109" s="69">
        <f t="shared" ref="L109:L112" si="37">+IF(K109*12&lt;=416220.01,0,IF(K109*12&lt;=624329.01,(((K109*12-416220.01)*0.15)/12),IF((K109*12&lt;=867123.01),(31216+0.2*(K109*12-624329.01))/12,((79776+0.25*(K109*12-867123.01))/12))))</f>
        <v>10929.312291666667</v>
      </c>
      <c r="M109" s="215">
        <v>25510.63</v>
      </c>
      <c r="N109" s="215">
        <f>+M109+I109+H109+G109+L109</f>
        <v>42054.442291666666</v>
      </c>
      <c r="O109" s="217">
        <f>+F109-N109</f>
        <v>52945.557708333334</v>
      </c>
    </row>
    <row r="110" spans="1:16" s="219" customFormat="1" ht="35.1" customHeight="1" x14ac:dyDescent="0.2">
      <c r="A110" s="235">
        <f>+A109+1</f>
        <v>54</v>
      </c>
      <c r="B110" s="72" t="s">
        <v>48</v>
      </c>
      <c r="C110" s="73" t="s">
        <v>335</v>
      </c>
      <c r="D110" s="233" t="s">
        <v>575</v>
      </c>
      <c r="E110" s="72" t="s">
        <v>96</v>
      </c>
      <c r="F110" s="216">
        <v>85000</v>
      </c>
      <c r="G110" s="69">
        <f>F110*2.87%</f>
        <v>2439.5</v>
      </c>
      <c r="H110" s="69">
        <f>+F110*3.04%</f>
        <v>2584</v>
      </c>
      <c r="I110" s="69"/>
      <c r="J110" s="69">
        <f>+G110+H110+I110</f>
        <v>5023.5</v>
      </c>
      <c r="K110" s="69">
        <f>+F110-J110</f>
        <v>79976.5</v>
      </c>
      <c r="L110" s="69">
        <f t="shared" si="37"/>
        <v>8577.0622916666671</v>
      </c>
      <c r="M110" s="69">
        <v>14609.97</v>
      </c>
      <c r="N110" s="69">
        <f>+M110+I110+H110+G110+L110</f>
        <v>28210.53229166667</v>
      </c>
      <c r="O110" s="217">
        <f>+F110-N110</f>
        <v>56789.46770833333</v>
      </c>
    </row>
    <row r="111" spans="1:16" s="219" customFormat="1" ht="35.1" customHeight="1" x14ac:dyDescent="0.2">
      <c r="A111" s="73">
        <f>+A110+1</f>
        <v>55</v>
      </c>
      <c r="B111" s="72" t="s">
        <v>225</v>
      </c>
      <c r="C111" s="73" t="s">
        <v>334</v>
      </c>
      <c r="D111" s="233" t="s">
        <v>575</v>
      </c>
      <c r="E111" s="72" t="s">
        <v>96</v>
      </c>
      <c r="F111" s="216">
        <v>80000</v>
      </c>
      <c r="G111" s="216">
        <f>F111*2.87%</f>
        <v>2296</v>
      </c>
      <c r="H111" s="216">
        <f>+F111*3.04%</f>
        <v>2432</v>
      </c>
      <c r="I111" s="216"/>
      <c r="J111" s="215">
        <f>+G111+H111+I111</f>
        <v>4728</v>
      </c>
      <c r="K111" s="215">
        <f>+F111-J111</f>
        <v>75272</v>
      </c>
      <c r="L111" s="69">
        <f t="shared" si="37"/>
        <v>7400.9372916666662</v>
      </c>
      <c r="M111" s="221">
        <v>25</v>
      </c>
      <c r="N111" s="215">
        <f>+M111+I111+H111+G111+L111</f>
        <v>12153.937291666665</v>
      </c>
      <c r="O111" s="217">
        <f>+F111-N111</f>
        <v>67846.062708333338</v>
      </c>
    </row>
    <row r="112" spans="1:16" s="219" customFormat="1" ht="35.1" customHeight="1" x14ac:dyDescent="0.2">
      <c r="A112" s="73">
        <f>+A111+1</f>
        <v>56</v>
      </c>
      <c r="B112" s="72" t="s">
        <v>38</v>
      </c>
      <c r="C112" s="73" t="s">
        <v>579</v>
      </c>
      <c r="D112" s="233" t="s">
        <v>575</v>
      </c>
      <c r="E112" s="72" t="s">
        <v>96</v>
      </c>
      <c r="F112" s="216">
        <v>95000</v>
      </c>
      <c r="G112" s="216">
        <f>F112*2.87%</f>
        <v>2726.5</v>
      </c>
      <c r="H112" s="216">
        <f>+F112*3.04%</f>
        <v>2888</v>
      </c>
      <c r="I112" s="216"/>
      <c r="J112" s="215">
        <f>+G112+H112+I112</f>
        <v>5614.5</v>
      </c>
      <c r="K112" s="215">
        <f>+F112-J112</f>
        <v>89385.5</v>
      </c>
      <c r="L112" s="69">
        <f t="shared" si="37"/>
        <v>10929.312291666667</v>
      </c>
      <c r="M112" s="221">
        <v>4821.12</v>
      </c>
      <c r="N112" s="215">
        <f>+M112+I112+H112+G112+L112</f>
        <v>21364.932291666664</v>
      </c>
      <c r="O112" s="217">
        <f>+F112-N112</f>
        <v>73635.067708333343</v>
      </c>
    </row>
    <row r="113" spans="1:16" s="219" customFormat="1" ht="35.1" customHeight="1" thickBot="1" x14ac:dyDescent="0.25">
      <c r="A113" s="223" t="s">
        <v>99</v>
      </c>
      <c r="B113" s="224"/>
      <c r="C113" s="224"/>
      <c r="D113" s="224"/>
      <c r="E113" s="239"/>
      <c r="F113" s="225">
        <f>SUM(F109:F112)</f>
        <v>355000</v>
      </c>
      <c r="G113" s="225">
        <f t="shared" ref="G113:N113" si="38">SUM(G109:G112)</f>
        <v>10188.5</v>
      </c>
      <c r="H113" s="225">
        <f t="shared" si="38"/>
        <v>10792</v>
      </c>
      <c r="I113" s="225">
        <f t="shared" si="38"/>
        <v>0</v>
      </c>
      <c r="J113" s="225">
        <f t="shared" si="38"/>
        <v>20980.5</v>
      </c>
      <c r="K113" s="225">
        <f t="shared" si="38"/>
        <v>334019.5</v>
      </c>
      <c r="L113" s="225">
        <f t="shared" si="38"/>
        <v>37836.624166666668</v>
      </c>
      <c r="M113" s="225">
        <f>SUM(M109:M112)</f>
        <v>44966.720000000001</v>
      </c>
      <c r="N113" s="225">
        <f t="shared" si="38"/>
        <v>103783.84416666665</v>
      </c>
      <c r="O113" s="225">
        <f>SUM(O109:O112)</f>
        <v>251216.15583333335</v>
      </c>
      <c r="P113" s="339"/>
    </row>
    <row r="114" spans="1:16" s="240" customFormat="1" ht="35.1" customHeight="1" thickBot="1" x14ac:dyDescent="0.25">
      <c r="A114" s="352" t="s">
        <v>139</v>
      </c>
      <c r="B114" s="353"/>
      <c r="C114" s="353"/>
      <c r="D114" s="353"/>
      <c r="E114" s="353"/>
      <c r="F114" s="246"/>
      <c r="G114" s="246"/>
      <c r="H114" s="246"/>
      <c r="I114" s="246"/>
      <c r="J114" s="246"/>
      <c r="K114" s="246"/>
      <c r="L114" s="246"/>
      <c r="M114" s="246"/>
      <c r="N114" s="246"/>
      <c r="O114" s="246"/>
    </row>
    <row r="115" spans="1:16" s="148" customFormat="1" ht="35.1" customHeight="1" x14ac:dyDescent="0.2">
      <c r="A115" s="73">
        <f>+A112+1</f>
        <v>57</v>
      </c>
      <c r="B115" s="72" t="s">
        <v>475</v>
      </c>
      <c r="C115" s="73" t="s">
        <v>335</v>
      </c>
      <c r="D115" s="233" t="s">
        <v>575</v>
      </c>
      <c r="E115" s="72" t="s">
        <v>97</v>
      </c>
      <c r="F115" s="216">
        <v>95000</v>
      </c>
      <c r="G115" s="216">
        <f>F115*2.87%</f>
        <v>2726.5</v>
      </c>
      <c r="H115" s="68">
        <f>+F115*3.04%</f>
        <v>2888</v>
      </c>
      <c r="I115" s="68">
        <v>1919.78</v>
      </c>
      <c r="J115" s="69">
        <f>+G115+H115+I115</f>
        <v>7534.28</v>
      </c>
      <c r="K115" s="69">
        <f>+F115-J115</f>
        <v>87465.72</v>
      </c>
      <c r="L115" s="69">
        <f t="shared" ref="L115:L117" si="39">+IF(K115*12&lt;=416220.01,0,IF(K115*12&lt;=624329.01,(((K115*12-416220.01)*0.15)/12),IF((K115*12&lt;=867123.01),(31216+0.2*(K115*12-624329.01))/12,((79776+0.25*(K115*12-867123.01))/12))))</f>
        <v>10449.367291666669</v>
      </c>
      <c r="M115" s="221">
        <v>6177.9</v>
      </c>
      <c r="N115" s="215">
        <f>+M115+I115+H115+G115+L115</f>
        <v>24161.547291666669</v>
      </c>
      <c r="O115" s="84">
        <f>+F115-N115</f>
        <v>70838.452708333323</v>
      </c>
    </row>
    <row r="116" spans="1:16" s="148" customFormat="1" ht="35.1" customHeight="1" x14ac:dyDescent="0.2">
      <c r="A116" s="73">
        <f>+A115+1</f>
        <v>58</v>
      </c>
      <c r="B116" s="72" t="s">
        <v>229</v>
      </c>
      <c r="C116" s="73" t="s">
        <v>335</v>
      </c>
      <c r="D116" s="233" t="s">
        <v>575</v>
      </c>
      <c r="E116" s="72" t="s">
        <v>97</v>
      </c>
      <c r="F116" s="216">
        <v>95000</v>
      </c>
      <c r="G116" s="216">
        <f>F116*2.87%</f>
        <v>2726.5</v>
      </c>
      <c r="H116" s="68">
        <f>+F116*3.04%</f>
        <v>2888</v>
      </c>
      <c r="I116" s="68"/>
      <c r="J116" s="69">
        <f>+G116+H116+I116</f>
        <v>5614.5</v>
      </c>
      <c r="K116" s="69">
        <f>+F116-J116</f>
        <v>89385.5</v>
      </c>
      <c r="L116" s="69">
        <f t="shared" si="39"/>
        <v>10929.312291666667</v>
      </c>
      <c r="M116" s="221">
        <v>1290.29</v>
      </c>
      <c r="N116" s="215">
        <f>+M116+I116+H116+G116+L116</f>
        <v>17834.102291666666</v>
      </c>
      <c r="O116" s="84">
        <f>+F116-N116</f>
        <v>77165.89770833333</v>
      </c>
    </row>
    <row r="117" spans="1:16" s="240" customFormat="1" ht="35.1" customHeight="1" x14ac:dyDescent="0.2">
      <c r="A117" s="73">
        <f>+A116+1</f>
        <v>59</v>
      </c>
      <c r="B117" s="72" t="s">
        <v>163</v>
      </c>
      <c r="C117" s="73" t="s">
        <v>334</v>
      </c>
      <c r="D117" s="233" t="s">
        <v>575</v>
      </c>
      <c r="E117" s="72" t="s">
        <v>97</v>
      </c>
      <c r="F117" s="216">
        <v>80000</v>
      </c>
      <c r="G117" s="68">
        <v>2296</v>
      </c>
      <c r="H117" s="68">
        <v>2432</v>
      </c>
      <c r="I117" s="68">
        <v>1919.78</v>
      </c>
      <c r="J117" s="69">
        <f>+G117+H117+I117</f>
        <v>6647.78</v>
      </c>
      <c r="K117" s="69">
        <f>+F117-J117</f>
        <v>73352.22</v>
      </c>
      <c r="L117" s="69">
        <f t="shared" si="39"/>
        <v>6920.9922916666665</v>
      </c>
      <c r="M117" s="234">
        <v>38999.08</v>
      </c>
      <c r="N117" s="215">
        <f>+M117+I117+H117+G117+L117</f>
        <v>52567.85229166667</v>
      </c>
      <c r="O117" s="84">
        <f>+F117-N117</f>
        <v>27432.14770833333</v>
      </c>
    </row>
    <row r="118" spans="1:16" s="148" customFormat="1" ht="35.1" customHeight="1" x14ac:dyDescent="0.2">
      <c r="A118" s="223" t="s">
        <v>99</v>
      </c>
      <c r="B118" s="224"/>
      <c r="C118" s="224"/>
      <c r="D118" s="224"/>
      <c r="E118" s="239"/>
      <c r="F118" s="225">
        <f t="shared" ref="F118:O118" si="40">SUM(F115:F117)</f>
        <v>270000</v>
      </c>
      <c r="G118" s="225">
        <f t="shared" si="40"/>
        <v>7749</v>
      </c>
      <c r="H118" s="225">
        <f t="shared" si="40"/>
        <v>8208</v>
      </c>
      <c r="I118" s="225">
        <f t="shared" si="40"/>
        <v>3839.56</v>
      </c>
      <c r="J118" s="225">
        <f t="shared" si="40"/>
        <v>19796.559999999998</v>
      </c>
      <c r="K118" s="225">
        <f t="shared" si="40"/>
        <v>250203.44</v>
      </c>
      <c r="L118" s="225">
        <f t="shared" si="40"/>
        <v>28299.671875000004</v>
      </c>
      <c r="M118" s="225">
        <f t="shared" si="40"/>
        <v>46467.270000000004</v>
      </c>
      <c r="N118" s="225">
        <f t="shared" si="40"/>
        <v>94563.501875000002</v>
      </c>
      <c r="O118" s="225">
        <f t="shared" si="40"/>
        <v>175436.49812499998</v>
      </c>
      <c r="P118" s="339"/>
    </row>
    <row r="119" spans="1:16" s="148" customFormat="1" ht="35.1" customHeight="1" thickBot="1" x14ac:dyDescent="0.25">
      <c r="A119" s="203"/>
      <c r="B119" s="147"/>
      <c r="C119" s="203"/>
      <c r="D119" s="147"/>
      <c r="E119" s="147"/>
      <c r="G119" s="149"/>
      <c r="H119" s="149"/>
      <c r="I119" s="149"/>
      <c r="J119" s="149"/>
      <c r="K119" s="149"/>
      <c r="L119" s="149"/>
      <c r="M119" s="149"/>
      <c r="N119" s="149"/>
      <c r="O119" s="149"/>
    </row>
    <row r="120" spans="1:16" s="148" customFormat="1" ht="35.1" customHeight="1" thickBot="1" x14ac:dyDescent="0.25">
      <c r="A120" s="352" t="s">
        <v>140</v>
      </c>
      <c r="B120" s="353"/>
      <c r="C120" s="353"/>
      <c r="D120" s="353"/>
      <c r="E120" s="353"/>
      <c r="F120" s="246"/>
      <c r="G120" s="246"/>
      <c r="H120" s="246"/>
      <c r="I120" s="246"/>
      <c r="J120" s="246"/>
      <c r="K120" s="246"/>
      <c r="L120" s="246"/>
      <c r="M120" s="246"/>
      <c r="N120" s="246"/>
      <c r="O120" s="246"/>
    </row>
    <row r="121" spans="1:16" s="148" customFormat="1" ht="35.1" customHeight="1" x14ac:dyDescent="0.2">
      <c r="A121" s="73">
        <f>+A117+1</f>
        <v>60</v>
      </c>
      <c r="B121" s="238" t="s">
        <v>4</v>
      </c>
      <c r="C121" s="235" t="s">
        <v>335</v>
      </c>
      <c r="D121" s="250" t="s">
        <v>575</v>
      </c>
      <c r="E121" s="238" t="s">
        <v>97</v>
      </c>
      <c r="F121" s="68">
        <v>95000</v>
      </c>
      <c r="G121" s="68">
        <f>F121*2.87%</f>
        <v>2726.5</v>
      </c>
      <c r="H121" s="68">
        <f>+F121*3.04%</f>
        <v>2888</v>
      </c>
      <c r="I121" s="216"/>
      <c r="J121" s="215">
        <f>+G121+H121+I121</f>
        <v>5614.5</v>
      </c>
      <c r="K121" s="215">
        <f>+F121-J121</f>
        <v>89385.5</v>
      </c>
      <c r="L121" s="215">
        <f t="shared" ref="L121:L124" si="41">+IF(K121*12&lt;=416220.01,0,IF(K121*12&lt;=624329.01,(((K121*12-416220.01)*0.15)/12),IF((K121*12&lt;=867123.01),(31216+0.2*(K121*12-624329.01))/12,((79776+0.25*(K121*12-867123.01))/12))))</f>
        <v>10929.312291666667</v>
      </c>
      <c r="M121" s="217">
        <v>21095.19</v>
      </c>
      <c r="N121" s="215">
        <f>+M121+I121+H121+G121+L121</f>
        <v>37639.002291666664</v>
      </c>
      <c r="O121" s="217">
        <f>+F121-N121</f>
        <v>57360.997708333336</v>
      </c>
    </row>
    <row r="122" spans="1:16" s="148" customFormat="1" ht="35.1" customHeight="1" x14ac:dyDescent="0.2">
      <c r="A122" s="73">
        <f>+A121+1</f>
        <v>61</v>
      </c>
      <c r="B122" s="238" t="s">
        <v>224</v>
      </c>
      <c r="C122" s="235" t="s">
        <v>335</v>
      </c>
      <c r="D122" s="250" t="s">
        <v>575</v>
      </c>
      <c r="E122" s="238" t="s">
        <v>97</v>
      </c>
      <c r="F122" s="68">
        <v>95000</v>
      </c>
      <c r="G122" s="68">
        <f>F122*2.87%</f>
        <v>2726.5</v>
      </c>
      <c r="H122" s="68">
        <f>+F122*3.04%</f>
        <v>2888</v>
      </c>
      <c r="I122" s="216">
        <v>1919.78</v>
      </c>
      <c r="J122" s="215">
        <f>+G122+H122+I122</f>
        <v>7534.28</v>
      </c>
      <c r="K122" s="215">
        <f>+F122-J122</f>
        <v>87465.72</v>
      </c>
      <c r="L122" s="215">
        <f t="shared" si="41"/>
        <v>10449.367291666669</v>
      </c>
      <c r="M122" s="217">
        <v>225</v>
      </c>
      <c r="N122" s="215">
        <f>+M122+I122+H122+G122+L122</f>
        <v>18208.647291666668</v>
      </c>
      <c r="O122" s="217">
        <f>+F122-N122</f>
        <v>76791.352708333332</v>
      </c>
    </row>
    <row r="123" spans="1:16" s="242" customFormat="1" ht="35.1" customHeight="1" x14ac:dyDescent="0.2">
      <c r="A123" s="73">
        <f>+A122+1</f>
        <v>62</v>
      </c>
      <c r="B123" s="72" t="s">
        <v>79</v>
      </c>
      <c r="C123" s="73" t="s">
        <v>335</v>
      </c>
      <c r="D123" s="233" t="s">
        <v>575</v>
      </c>
      <c r="E123" s="72" t="s">
        <v>96</v>
      </c>
      <c r="F123" s="216">
        <v>90000</v>
      </c>
      <c r="G123" s="216">
        <f>F123*2.87%</f>
        <v>2583</v>
      </c>
      <c r="H123" s="216">
        <f>+F123*3.04%</f>
        <v>2736</v>
      </c>
      <c r="I123" s="216"/>
      <c r="J123" s="215">
        <f>+G123+H123+I123</f>
        <v>5319</v>
      </c>
      <c r="K123" s="215">
        <f>+F123-J123</f>
        <v>84681</v>
      </c>
      <c r="L123" s="215">
        <f t="shared" si="41"/>
        <v>9753.1872916666671</v>
      </c>
      <c r="M123" s="221">
        <v>265</v>
      </c>
      <c r="N123" s="215">
        <f>+M123+I123+H123+G123+L123</f>
        <v>15337.187291666667</v>
      </c>
      <c r="O123" s="217">
        <f>+F123-N123</f>
        <v>74662.812708333338</v>
      </c>
    </row>
    <row r="124" spans="1:16" s="148" customFormat="1" ht="35.1" customHeight="1" x14ac:dyDescent="0.2">
      <c r="A124" s="73">
        <f>+A123+1</f>
        <v>63</v>
      </c>
      <c r="B124" s="72" t="s">
        <v>222</v>
      </c>
      <c r="C124" s="73" t="s">
        <v>334</v>
      </c>
      <c r="D124" s="233" t="s">
        <v>575</v>
      </c>
      <c r="E124" s="72" t="s">
        <v>96</v>
      </c>
      <c r="F124" s="216">
        <v>90000</v>
      </c>
      <c r="G124" s="216">
        <f>F124*2.87%</f>
        <v>2583</v>
      </c>
      <c r="H124" s="216">
        <f>+F124*3.04%</f>
        <v>2736</v>
      </c>
      <c r="I124" s="216">
        <f>1919.78*2</f>
        <v>3839.56</v>
      </c>
      <c r="J124" s="215">
        <f>+G124+H124+I124</f>
        <v>9158.56</v>
      </c>
      <c r="K124" s="215">
        <f>+F124-J124</f>
        <v>80841.440000000002</v>
      </c>
      <c r="L124" s="215">
        <f t="shared" si="41"/>
        <v>8793.2972916666677</v>
      </c>
      <c r="M124" s="221">
        <v>225</v>
      </c>
      <c r="N124" s="215">
        <f>+M124+I124+H124+G124+L124</f>
        <v>18176.857291666667</v>
      </c>
      <c r="O124" s="217">
        <f>+F124-N124</f>
        <v>71823.142708333326</v>
      </c>
    </row>
    <row r="125" spans="1:16" s="219" customFormat="1" ht="35.1" customHeight="1" x14ac:dyDescent="0.2">
      <c r="A125" s="223" t="s">
        <v>99</v>
      </c>
      <c r="B125" s="224"/>
      <c r="C125" s="224"/>
      <c r="D125" s="224"/>
      <c r="E125" s="239"/>
      <c r="F125" s="225">
        <f>SUM(F121:F124)</f>
        <v>370000</v>
      </c>
      <c r="G125" s="225">
        <f t="shared" ref="G125:O125" si="42">SUM(G121:G124)</f>
        <v>10619</v>
      </c>
      <c r="H125" s="225">
        <f t="shared" si="42"/>
        <v>11248</v>
      </c>
      <c r="I125" s="225">
        <f t="shared" si="42"/>
        <v>5759.34</v>
      </c>
      <c r="J125" s="225">
        <f t="shared" si="42"/>
        <v>27626.339999999997</v>
      </c>
      <c r="K125" s="225">
        <f t="shared" si="42"/>
        <v>342373.66000000003</v>
      </c>
      <c r="L125" s="225">
        <f>SUM(L121:L124)</f>
        <v>39925.164166666676</v>
      </c>
      <c r="M125" s="225">
        <f t="shared" si="42"/>
        <v>21810.19</v>
      </c>
      <c r="N125" s="225">
        <f t="shared" si="42"/>
        <v>89361.694166666653</v>
      </c>
      <c r="O125" s="225">
        <f t="shared" si="42"/>
        <v>280638.30583333329</v>
      </c>
      <c r="P125" s="339"/>
    </row>
    <row r="126" spans="1:16" s="240" customFormat="1" ht="35.1" customHeight="1" thickBot="1" x14ac:dyDescent="0.25">
      <c r="A126" s="203"/>
      <c r="B126" s="147"/>
      <c r="C126" s="203"/>
      <c r="D126" s="147"/>
      <c r="E126" s="147"/>
      <c r="F126" s="148"/>
      <c r="G126" s="149"/>
      <c r="H126" s="149"/>
      <c r="I126" s="149"/>
      <c r="J126" s="149"/>
      <c r="K126" s="149"/>
      <c r="L126" s="149"/>
      <c r="M126" s="149"/>
      <c r="N126" s="149"/>
      <c r="O126" s="149"/>
    </row>
    <row r="127" spans="1:16" s="148" customFormat="1" ht="35.1" customHeight="1" thickBot="1" x14ac:dyDescent="0.25">
      <c r="A127" s="352" t="s">
        <v>141</v>
      </c>
      <c r="B127" s="353"/>
      <c r="C127" s="353"/>
      <c r="D127" s="353"/>
      <c r="E127" s="353"/>
      <c r="F127" s="246"/>
      <c r="G127" s="246"/>
      <c r="H127" s="246"/>
      <c r="I127" s="246"/>
      <c r="J127" s="246"/>
      <c r="K127" s="246"/>
      <c r="L127" s="246"/>
      <c r="M127" s="246"/>
      <c r="N127" s="246"/>
      <c r="O127" s="246"/>
    </row>
    <row r="128" spans="1:16" s="219" customFormat="1" ht="35.1" customHeight="1" x14ac:dyDescent="0.2">
      <c r="A128" s="73">
        <f>+A124+1</f>
        <v>64</v>
      </c>
      <c r="B128" s="72" t="s">
        <v>43</v>
      </c>
      <c r="C128" s="73" t="s">
        <v>335</v>
      </c>
      <c r="D128" s="233" t="s">
        <v>575</v>
      </c>
      <c r="E128" s="72" t="s">
        <v>97</v>
      </c>
      <c r="F128" s="216">
        <v>95000</v>
      </c>
      <c r="G128" s="216">
        <f>F128*2.87%</f>
        <v>2726.5</v>
      </c>
      <c r="H128" s="216">
        <f>+F128*3.04%</f>
        <v>2888</v>
      </c>
      <c r="I128" s="68">
        <v>3839.56</v>
      </c>
      <c r="J128" s="215">
        <f>+G128+H128+I128</f>
        <v>9454.06</v>
      </c>
      <c r="K128" s="215">
        <f>+F128-J128</f>
        <v>85545.94</v>
      </c>
      <c r="L128" s="215">
        <f t="shared" ref="L128:L129" si="43">+IF(K128*12&lt;=416220.01,0,IF(K128*12&lt;=624329.01,(((K128*12-416220.01)*0.15)/12),IF((K128*12&lt;=867123.01),(31216+0.2*(K128*12-624329.01))/12,((79776+0.25*(K128*12-867123.01))/12))))</f>
        <v>9969.4222916666677</v>
      </c>
      <c r="M128" s="221">
        <v>6388.71</v>
      </c>
      <c r="N128" s="215">
        <f>+M128+I128+H128+G128+L128</f>
        <v>25812.192291666666</v>
      </c>
      <c r="O128" s="217">
        <f>+F128-N128</f>
        <v>69187.807708333334</v>
      </c>
    </row>
    <row r="129" spans="1:16" s="219" customFormat="1" ht="35.1" customHeight="1" x14ac:dyDescent="0.2">
      <c r="A129" s="73">
        <f>+A128+1</f>
        <v>65</v>
      </c>
      <c r="B129" s="72" t="s">
        <v>223</v>
      </c>
      <c r="C129" s="73" t="s">
        <v>335</v>
      </c>
      <c r="D129" s="233" t="s">
        <v>575</v>
      </c>
      <c r="E129" s="72" t="s">
        <v>97</v>
      </c>
      <c r="F129" s="216">
        <v>90000</v>
      </c>
      <c r="G129" s="216">
        <f>F129*2.87%</f>
        <v>2583</v>
      </c>
      <c r="H129" s="216">
        <f>+F129*3.04%</f>
        <v>2736</v>
      </c>
      <c r="I129" s="68">
        <v>0</v>
      </c>
      <c r="J129" s="215">
        <f>+G129+H129+I129</f>
        <v>5319</v>
      </c>
      <c r="K129" s="215">
        <f>+F129-J129</f>
        <v>84681</v>
      </c>
      <c r="L129" s="215">
        <f t="shared" si="43"/>
        <v>9753.1872916666671</v>
      </c>
      <c r="M129" s="221">
        <v>12415.18</v>
      </c>
      <c r="N129" s="215">
        <f>+M129+I129+H129+G129+L129</f>
        <v>27487.367291666669</v>
      </c>
      <c r="O129" s="217">
        <f>+F129-N129</f>
        <v>62512.632708333331</v>
      </c>
    </row>
    <row r="130" spans="1:16" s="219" customFormat="1" ht="35.1" customHeight="1" x14ac:dyDescent="0.2">
      <c r="A130" s="223" t="s">
        <v>99</v>
      </c>
      <c r="B130" s="224"/>
      <c r="C130" s="224"/>
      <c r="D130" s="224"/>
      <c r="E130" s="239"/>
      <c r="F130" s="225">
        <f>SUM(F128:F129)</f>
        <v>185000</v>
      </c>
      <c r="G130" s="225">
        <f t="shared" ref="G130:O130" si="44">SUM(G128:G129)</f>
        <v>5309.5</v>
      </c>
      <c r="H130" s="225">
        <f t="shared" si="44"/>
        <v>5624</v>
      </c>
      <c r="I130" s="225">
        <f t="shared" si="44"/>
        <v>3839.56</v>
      </c>
      <c r="J130" s="225">
        <f t="shared" si="44"/>
        <v>14773.06</v>
      </c>
      <c r="K130" s="225">
        <f t="shared" si="44"/>
        <v>170226.94</v>
      </c>
      <c r="L130" s="225">
        <f t="shared" si="44"/>
        <v>19722.609583333335</v>
      </c>
      <c r="M130" s="225">
        <f t="shared" si="44"/>
        <v>18803.89</v>
      </c>
      <c r="N130" s="225">
        <f t="shared" si="44"/>
        <v>53299.559583333335</v>
      </c>
      <c r="O130" s="225">
        <f t="shared" si="44"/>
        <v>131700.44041666668</v>
      </c>
      <c r="P130" s="339"/>
    </row>
    <row r="131" spans="1:16" s="148" customFormat="1" ht="35.1" customHeight="1" thickBot="1" x14ac:dyDescent="0.25">
      <c r="A131" s="203"/>
      <c r="B131" s="147"/>
      <c r="C131" s="203"/>
      <c r="D131" s="147"/>
      <c r="E131" s="147"/>
      <c r="G131" s="149"/>
      <c r="H131" s="149"/>
      <c r="I131" s="149"/>
      <c r="J131" s="149"/>
      <c r="K131" s="149"/>
      <c r="L131" s="149"/>
      <c r="M131" s="149"/>
      <c r="N131" s="149"/>
      <c r="O131" s="149"/>
    </row>
    <row r="132" spans="1:16" s="240" customFormat="1" ht="35.1" customHeight="1" thickBot="1" x14ac:dyDescent="0.25">
      <c r="A132" s="352" t="s">
        <v>142</v>
      </c>
      <c r="B132" s="353"/>
      <c r="C132" s="353"/>
      <c r="D132" s="353"/>
      <c r="E132" s="353"/>
      <c r="F132" s="246"/>
      <c r="G132" s="246"/>
      <c r="H132" s="246"/>
      <c r="I132" s="246"/>
      <c r="J132" s="246"/>
      <c r="K132" s="246"/>
      <c r="L132" s="246"/>
      <c r="M132" s="246"/>
      <c r="N132" s="246"/>
      <c r="O132" s="246"/>
    </row>
    <row r="133" spans="1:16" ht="35.1" customHeight="1" x14ac:dyDescent="0.2">
      <c r="A133" s="237">
        <f>+A129+1</f>
        <v>66</v>
      </c>
      <c r="B133" s="214" t="s">
        <v>226</v>
      </c>
      <c r="C133" s="213" t="s">
        <v>334</v>
      </c>
      <c r="D133" s="222" t="s">
        <v>227</v>
      </c>
      <c r="E133" s="72" t="s">
        <v>97</v>
      </c>
      <c r="F133" s="215">
        <v>126500</v>
      </c>
      <c r="G133" s="68">
        <v>3630.55</v>
      </c>
      <c r="H133" s="68">
        <v>3845.6</v>
      </c>
      <c r="I133" s="68">
        <v>1919.78</v>
      </c>
      <c r="J133" s="69">
        <f>+G133+H133+I133</f>
        <v>9395.93</v>
      </c>
      <c r="K133" s="69">
        <f>+F133-J133</f>
        <v>117104.07</v>
      </c>
      <c r="L133" s="69">
        <f t="shared" ref="L133:L136" si="45">+IF(K133*12&lt;=416220.01,0,IF(K133*12&lt;=624329.01,(((K133*12-416220.01)*0.15)/12),IF((K133*12&lt;=867123.01),(31216+0.2*(K133*12-624329.01))/12,((79776+0.25*(K133*12-867123.01))/12))))</f>
        <v>17858.954791666667</v>
      </c>
      <c r="M133" s="234">
        <v>1290.29</v>
      </c>
      <c r="N133" s="215">
        <f>+M133+I133+H133+G133+L133</f>
        <v>28545.174791666668</v>
      </c>
      <c r="O133" s="84">
        <f>+F133-N133</f>
        <v>97954.825208333335</v>
      </c>
    </row>
    <row r="134" spans="1:16" s="148" customFormat="1" ht="35.1" customHeight="1" x14ac:dyDescent="0.2">
      <c r="A134" s="237">
        <f>+A133+1</f>
        <v>67</v>
      </c>
      <c r="B134" s="214" t="s">
        <v>228</v>
      </c>
      <c r="C134" s="213" t="s">
        <v>335</v>
      </c>
      <c r="D134" s="222" t="s">
        <v>575</v>
      </c>
      <c r="E134" s="72" t="s">
        <v>97</v>
      </c>
      <c r="F134" s="215">
        <v>95000</v>
      </c>
      <c r="G134" s="216">
        <f>F134*2.87%</f>
        <v>2726.5</v>
      </c>
      <c r="H134" s="68">
        <f>+F134*3.04%</f>
        <v>2888</v>
      </c>
      <c r="I134" s="68"/>
      <c r="J134" s="69">
        <f>+G134+H134+I134</f>
        <v>5614.5</v>
      </c>
      <c r="K134" s="69">
        <f>+F134-J134</f>
        <v>89385.5</v>
      </c>
      <c r="L134" s="69">
        <v>10929.31</v>
      </c>
      <c r="M134" s="234">
        <v>25</v>
      </c>
      <c r="N134" s="215">
        <f>+M134+I134+H134+G134+L134</f>
        <v>16568.809999999998</v>
      </c>
      <c r="O134" s="84">
        <f>+F134-N134</f>
        <v>78431.19</v>
      </c>
    </row>
    <row r="135" spans="1:16" ht="35.1" customHeight="1" x14ac:dyDescent="0.2">
      <c r="A135" s="237">
        <f>+A134+1</f>
        <v>68</v>
      </c>
      <c r="B135" s="214" t="s">
        <v>158</v>
      </c>
      <c r="C135" s="213" t="s">
        <v>334</v>
      </c>
      <c r="D135" s="222" t="s">
        <v>575</v>
      </c>
      <c r="E135" s="72" t="s">
        <v>96</v>
      </c>
      <c r="F135" s="215">
        <v>95000</v>
      </c>
      <c r="G135" s="68">
        <f>F135*2.87%</f>
        <v>2726.5</v>
      </c>
      <c r="H135" s="68">
        <f>+F135*3.04%</f>
        <v>2888</v>
      </c>
      <c r="I135" s="68"/>
      <c r="J135" s="69">
        <f>+G135+H135+I135</f>
        <v>5614.5</v>
      </c>
      <c r="K135" s="69">
        <f>+F135-J135</f>
        <v>89385.5</v>
      </c>
      <c r="L135" s="69">
        <f t="shared" si="45"/>
        <v>10929.312291666667</v>
      </c>
      <c r="M135" s="234">
        <v>25</v>
      </c>
      <c r="N135" s="215">
        <f>+M135+I135+H135+G135+L135</f>
        <v>16568.812291666669</v>
      </c>
      <c r="O135" s="84">
        <f>+F135-N135</f>
        <v>78431.187708333338</v>
      </c>
    </row>
    <row r="136" spans="1:16" s="240" customFormat="1" ht="35.1" customHeight="1" x14ac:dyDescent="0.2">
      <c r="A136" s="237">
        <f>+A135+1</f>
        <v>69</v>
      </c>
      <c r="B136" s="214" t="s">
        <v>54</v>
      </c>
      <c r="C136" s="213" t="s">
        <v>334</v>
      </c>
      <c r="D136" s="222" t="s">
        <v>575</v>
      </c>
      <c r="E136" s="72" t="s">
        <v>97</v>
      </c>
      <c r="F136" s="215">
        <v>95000</v>
      </c>
      <c r="G136" s="216">
        <f>F136*2.87%</f>
        <v>2726.5</v>
      </c>
      <c r="H136" s="68">
        <f>+F136*3.04%</f>
        <v>2888</v>
      </c>
      <c r="I136" s="68">
        <f>1919.78*2</f>
        <v>3839.56</v>
      </c>
      <c r="J136" s="69">
        <f>+G136+H136+I136</f>
        <v>9454.06</v>
      </c>
      <c r="K136" s="69">
        <f>+F136-J136</f>
        <v>85545.94</v>
      </c>
      <c r="L136" s="69">
        <f t="shared" si="45"/>
        <v>9969.4222916666677</v>
      </c>
      <c r="M136" s="221">
        <v>5288.97</v>
      </c>
      <c r="N136" s="215">
        <f>+M136+I136+H136+G136+L136</f>
        <v>24712.452291666668</v>
      </c>
      <c r="O136" s="84">
        <f>+F136-N136</f>
        <v>70287.547708333324</v>
      </c>
    </row>
    <row r="137" spans="1:16" s="219" customFormat="1" ht="35.1" customHeight="1" x14ac:dyDescent="0.2">
      <c r="A137" s="223" t="s">
        <v>99</v>
      </c>
      <c r="B137" s="224"/>
      <c r="C137" s="224"/>
      <c r="D137" s="224"/>
      <c r="E137" s="239"/>
      <c r="F137" s="225">
        <f>SUM(F133:F136)</f>
        <v>411500</v>
      </c>
      <c r="G137" s="225">
        <f t="shared" ref="G137:O137" si="46">SUM(G133:G136)</f>
        <v>11810.05</v>
      </c>
      <c r="H137" s="225">
        <f t="shared" si="46"/>
        <v>12509.6</v>
      </c>
      <c r="I137" s="225">
        <f t="shared" si="46"/>
        <v>5759.34</v>
      </c>
      <c r="J137" s="225">
        <f t="shared" si="46"/>
        <v>30078.989999999998</v>
      </c>
      <c r="K137" s="225">
        <f t="shared" si="46"/>
        <v>381421.01</v>
      </c>
      <c r="L137" s="225">
        <f t="shared" si="46"/>
        <v>49686.999375000007</v>
      </c>
      <c r="M137" s="225">
        <f t="shared" si="46"/>
        <v>6629.26</v>
      </c>
      <c r="N137" s="225">
        <f t="shared" si="46"/>
        <v>86395.249374999999</v>
      </c>
      <c r="O137" s="225">
        <f t="shared" si="46"/>
        <v>325104.75062499999</v>
      </c>
      <c r="P137" s="339"/>
    </row>
    <row r="138" spans="1:16" s="219" customFormat="1" ht="35.1" customHeight="1" thickBot="1" x14ac:dyDescent="0.25">
      <c r="A138" s="146"/>
      <c r="B138" s="146"/>
      <c r="C138" s="146"/>
      <c r="D138" s="146"/>
      <c r="E138" s="14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</row>
    <row r="139" spans="1:16" s="219" customFormat="1" ht="35.1" customHeight="1" thickBot="1" x14ac:dyDescent="0.25">
      <c r="A139" s="229" t="s">
        <v>143</v>
      </c>
      <c r="B139" s="230"/>
      <c r="C139" s="230"/>
      <c r="D139" s="230"/>
      <c r="E139" s="230"/>
      <c r="F139" s="230"/>
      <c r="G139" s="230"/>
      <c r="H139" s="230"/>
      <c r="I139" s="230"/>
      <c r="J139" s="230"/>
      <c r="K139" s="230"/>
      <c r="L139" s="230"/>
      <c r="M139" s="230"/>
      <c r="N139" s="230"/>
      <c r="O139" s="230"/>
    </row>
    <row r="140" spans="1:16" s="148" customFormat="1" ht="35.1" customHeight="1" x14ac:dyDescent="0.2">
      <c r="A140" s="73">
        <f>+A136+1</f>
        <v>70</v>
      </c>
      <c r="B140" s="72" t="s">
        <v>55</v>
      </c>
      <c r="C140" s="73" t="s">
        <v>335</v>
      </c>
      <c r="D140" s="233" t="s">
        <v>168</v>
      </c>
      <c r="E140" s="72" t="s">
        <v>97</v>
      </c>
      <c r="F140" s="216">
        <v>148500</v>
      </c>
      <c r="G140" s="68">
        <v>4261.95</v>
      </c>
      <c r="H140" s="68">
        <v>4514.3999999999996</v>
      </c>
      <c r="I140" s="68"/>
      <c r="J140" s="69">
        <f>+G140+H140+I140</f>
        <v>8776.3499999999985</v>
      </c>
      <c r="K140" s="69">
        <f>+F140-J140</f>
        <v>139723.65</v>
      </c>
      <c r="L140" s="69">
        <f t="shared" ref="L140" si="47">+IF(K140*12&lt;=416220.01,0,IF(K140*12&lt;=624329.01,(((K140*12-416220.01)*0.15)/12),IF((K140*12&lt;=867123.01),(31216+0.2*(K140*12-624329.01))/12,((79776+0.25*(K140*12-867123.01))/12))))</f>
        <v>23513.849791666664</v>
      </c>
      <c r="M140" s="221">
        <v>22948.29</v>
      </c>
      <c r="N140" s="215">
        <f>+M140+I140+H140+G140+L140</f>
        <v>55238.489791666667</v>
      </c>
      <c r="O140" s="234">
        <f>+F140-N140</f>
        <v>93261.510208333333</v>
      </c>
    </row>
    <row r="141" spans="1:16" s="148" customFormat="1" ht="35.1" customHeight="1" x14ac:dyDescent="0.2">
      <c r="A141" s="73">
        <f>+A140+1</f>
        <v>71</v>
      </c>
      <c r="B141" s="72" t="s">
        <v>358</v>
      </c>
      <c r="C141" s="73" t="s">
        <v>335</v>
      </c>
      <c r="D141" s="233" t="s">
        <v>50</v>
      </c>
      <c r="E141" s="72" t="s">
        <v>190</v>
      </c>
      <c r="F141" s="216">
        <v>50000</v>
      </c>
      <c r="G141" s="68">
        <f>+F141*2.87%</f>
        <v>1435</v>
      </c>
      <c r="H141" s="68">
        <f>+F141*3.04%</f>
        <v>1520</v>
      </c>
      <c r="I141" s="68"/>
      <c r="J141" s="69">
        <f>+G141+H141+I141</f>
        <v>2955</v>
      </c>
      <c r="K141" s="69">
        <f>+F141-J141</f>
        <v>47045</v>
      </c>
      <c r="L141" s="69">
        <v>1309.6300000000001</v>
      </c>
      <c r="M141" s="221">
        <v>225</v>
      </c>
      <c r="N141" s="215">
        <f>+M141+I141+H141+G141+L141</f>
        <v>4489.63</v>
      </c>
      <c r="O141" s="234">
        <f>+F141-N141</f>
        <v>45510.37</v>
      </c>
    </row>
    <row r="142" spans="1:16" s="219" customFormat="1" ht="35.1" customHeight="1" x14ac:dyDescent="0.2">
      <c r="A142" s="223" t="s">
        <v>99</v>
      </c>
      <c r="B142" s="224"/>
      <c r="C142" s="224"/>
      <c r="D142" s="224"/>
      <c r="E142" s="239"/>
      <c r="F142" s="225">
        <f t="shared" ref="F142:L142" si="48">SUM(F140:F141)</f>
        <v>198500</v>
      </c>
      <c r="G142" s="225">
        <f t="shared" si="48"/>
        <v>5696.95</v>
      </c>
      <c r="H142" s="225">
        <f t="shared" si="48"/>
        <v>6034.4</v>
      </c>
      <c r="I142" s="225">
        <f t="shared" si="48"/>
        <v>0</v>
      </c>
      <c r="J142" s="225">
        <f t="shared" si="48"/>
        <v>11731.349999999999</v>
      </c>
      <c r="K142" s="225">
        <f t="shared" si="48"/>
        <v>186768.65</v>
      </c>
      <c r="L142" s="225">
        <f t="shared" si="48"/>
        <v>24823.479791666665</v>
      </c>
      <c r="M142" s="225">
        <f>SUM(M140:M141)</f>
        <v>23173.29</v>
      </c>
      <c r="N142" s="225">
        <f t="shared" ref="N142:O142" si="49">SUM(N140:N141)</f>
        <v>59728.119791666664</v>
      </c>
      <c r="O142" s="225">
        <f t="shared" si="49"/>
        <v>138771.88020833334</v>
      </c>
      <c r="P142" s="339"/>
    </row>
    <row r="143" spans="1:16" s="252" customFormat="1" ht="35.1" customHeight="1" thickBot="1" x14ac:dyDescent="0.25">
      <c r="A143" s="145"/>
      <c r="B143" s="145"/>
      <c r="C143" s="145"/>
      <c r="D143" s="145"/>
      <c r="E143" s="145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</row>
    <row r="144" spans="1:16" s="240" customFormat="1" ht="35.1" customHeight="1" thickBot="1" x14ac:dyDescent="0.25">
      <c r="A144" s="229" t="s">
        <v>577</v>
      </c>
      <c r="B144" s="230"/>
      <c r="C144" s="230"/>
      <c r="D144" s="230"/>
      <c r="E144" s="230"/>
      <c r="F144" s="230"/>
      <c r="G144" s="230"/>
      <c r="H144" s="230"/>
      <c r="I144" s="230"/>
      <c r="J144" s="230"/>
      <c r="K144" s="230"/>
      <c r="L144" s="230"/>
      <c r="M144" s="230"/>
      <c r="N144" s="230"/>
      <c r="O144" s="230"/>
    </row>
    <row r="145" spans="1:16" s="219" customFormat="1" ht="35.1" customHeight="1" x14ac:dyDescent="0.2">
      <c r="A145" s="235">
        <f>+A141+1</f>
        <v>72</v>
      </c>
      <c r="B145" s="72" t="s">
        <v>201</v>
      </c>
      <c r="C145" s="73" t="s">
        <v>335</v>
      </c>
      <c r="D145" s="233" t="s">
        <v>575</v>
      </c>
      <c r="E145" s="72" t="s">
        <v>96</v>
      </c>
      <c r="F145" s="216">
        <v>95000</v>
      </c>
      <c r="G145" s="216">
        <f>F145*2.87%</f>
        <v>2726.5</v>
      </c>
      <c r="H145" s="68">
        <f>+F145*3.04%</f>
        <v>2888</v>
      </c>
      <c r="I145" s="68">
        <v>1919.78</v>
      </c>
      <c r="J145" s="69">
        <f>+G145+H145+I145</f>
        <v>7534.28</v>
      </c>
      <c r="K145" s="69">
        <f>+F145-J145</f>
        <v>87465.72</v>
      </c>
      <c r="L145" s="69">
        <f t="shared" ref="L145" si="50">+IF(K145*12&lt;=416220.01,0,IF(K145*12&lt;=624329.01,(((K145*12-416220.01)*0.15)/12),IF((K145*12&lt;=867123.01),(31216+0.2*(K145*12-624329.01))/12,((79776+0.25*(K145*12-867123.01))/12))))</f>
        <v>10449.367291666669</v>
      </c>
      <c r="M145" s="221">
        <v>12617.57</v>
      </c>
      <c r="N145" s="215">
        <f>+M145+I145+H145+G145+L145</f>
        <v>30601.217291666668</v>
      </c>
      <c r="O145" s="84">
        <f>+F145-N145</f>
        <v>64398.782708333332</v>
      </c>
    </row>
    <row r="146" spans="1:16" s="148" customFormat="1" ht="35.1" customHeight="1" x14ac:dyDescent="0.2">
      <c r="A146" s="223" t="s">
        <v>99</v>
      </c>
      <c r="B146" s="224"/>
      <c r="C146" s="224"/>
      <c r="D146" s="224"/>
      <c r="E146" s="239"/>
      <c r="F146" s="225">
        <f t="shared" ref="F146:L146" si="51">SUM(F145:F145)</f>
        <v>95000</v>
      </c>
      <c r="G146" s="225">
        <f t="shared" si="51"/>
        <v>2726.5</v>
      </c>
      <c r="H146" s="225">
        <f t="shared" si="51"/>
        <v>2888</v>
      </c>
      <c r="I146" s="225">
        <f t="shared" si="51"/>
        <v>1919.78</v>
      </c>
      <c r="J146" s="225">
        <f t="shared" si="51"/>
        <v>7534.28</v>
      </c>
      <c r="K146" s="225">
        <f t="shared" si="51"/>
        <v>87465.72</v>
      </c>
      <c r="L146" s="225">
        <f t="shared" si="51"/>
        <v>10449.367291666669</v>
      </c>
      <c r="M146" s="225">
        <f>SUM(M145:M145)</f>
        <v>12617.57</v>
      </c>
      <c r="N146" s="225">
        <f>SUM(N145:N145)</f>
        <v>30601.217291666668</v>
      </c>
      <c r="O146" s="225">
        <f>SUM(O145:O145)</f>
        <v>64398.782708333332</v>
      </c>
      <c r="P146" s="339"/>
    </row>
    <row r="147" spans="1:16" s="219" customFormat="1" ht="35.1" customHeight="1" thickBot="1" x14ac:dyDescent="0.25">
      <c r="A147" s="218"/>
      <c r="B147" s="218"/>
      <c r="C147" s="243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</row>
    <row r="148" spans="1:16" s="219" customFormat="1" ht="35.1" customHeight="1" thickBot="1" x14ac:dyDescent="0.25">
      <c r="A148" s="354" t="s">
        <v>144</v>
      </c>
      <c r="B148" s="355"/>
      <c r="C148" s="355"/>
      <c r="D148" s="355"/>
      <c r="E148" s="355"/>
      <c r="F148" s="246"/>
      <c r="G148" s="246"/>
      <c r="H148" s="246"/>
      <c r="I148" s="246"/>
      <c r="J148" s="246"/>
      <c r="K148" s="246"/>
      <c r="L148" s="246"/>
      <c r="M148" s="246"/>
      <c r="N148" s="246"/>
      <c r="O148" s="246"/>
    </row>
    <row r="149" spans="1:16" s="219" customFormat="1" ht="35.1" customHeight="1" x14ac:dyDescent="0.2">
      <c r="A149" s="235">
        <f>+A145+1</f>
        <v>73</v>
      </c>
      <c r="B149" s="72" t="s">
        <v>231</v>
      </c>
      <c r="C149" s="73" t="s">
        <v>334</v>
      </c>
      <c r="D149" s="233" t="s">
        <v>575</v>
      </c>
      <c r="E149" s="72" t="s">
        <v>97</v>
      </c>
      <c r="F149" s="216">
        <v>95000</v>
      </c>
      <c r="G149" s="216">
        <f>F149*2.87%</f>
        <v>2726.5</v>
      </c>
      <c r="H149" s="68">
        <f>F149*3.04%</f>
        <v>2888</v>
      </c>
      <c r="I149" s="68"/>
      <c r="J149" s="69">
        <f>+G149+H149+I149</f>
        <v>5614.5</v>
      </c>
      <c r="K149" s="69">
        <f>+F149-J149</f>
        <v>89385.5</v>
      </c>
      <c r="L149" s="69">
        <f>+IF(K149*12&lt;=416220.01,0,IF(K149*12&lt;=624329.01,(((K149*12-416220.01)*0.15)/12),IF((K149*12&lt;=867123.01),(31216+0.2*(K149*12-624329.01))/12,((79776+0.25*(K149*12-867123.01))/12))))</f>
        <v>10929.312291666667</v>
      </c>
      <c r="M149" s="221">
        <v>265</v>
      </c>
      <c r="N149" s="215">
        <f>+M149+I149+H149+G149+L149</f>
        <v>16808.812291666669</v>
      </c>
      <c r="O149" s="84">
        <f>+F149-N149</f>
        <v>78191.187708333338</v>
      </c>
    </row>
    <row r="150" spans="1:16" s="219" customFormat="1" ht="41.25" customHeight="1" x14ac:dyDescent="0.2">
      <c r="A150" s="223" t="s">
        <v>99</v>
      </c>
      <c r="B150" s="224"/>
      <c r="C150" s="224"/>
      <c r="D150" s="224"/>
      <c r="E150" s="239"/>
      <c r="F150" s="225">
        <f t="shared" ref="F150:L150" si="52">SUM(F149:F149)</f>
        <v>95000</v>
      </c>
      <c r="G150" s="225">
        <f t="shared" si="52"/>
        <v>2726.5</v>
      </c>
      <c r="H150" s="225">
        <f t="shared" si="52"/>
        <v>2888</v>
      </c>
      <c r="I150" s="225">
        <f t="shared" si="52"/>
        <v>0</v>
      </c>
      <c r="J150" s="225">
        <f t="shared" si="52"/>
        <v>5614.5</v>
      </c>
      <c r="K150" s="225">
        <f t="shared" si="52"/>
        <v>89385.5</v>
      </c>
      <c r="L150" s="225">
        <f t="shared" si="52"/>
        <v>10929.312291666667</v>
      </c>
      <c r="M150" s="225">
        <f>SUM(M149:M149)</f>
        <v>265</v>
      </c>
      <c r="N150" s="225">
        <f t="shared" ref="N150:O150" si="53">SUM(N149:N149)</f>
        <v>16808.812291666669</v>
      </c>
      <c r="O150" s="225">
        <f t="shared" si="53"/>
        <v>78191.187708333338</v>
      </c>
      <c r="P150" s="339"/>
    </row>
    <row r="151" spans="1:16" s="219" customFormat="1" ht="35.1" customHeight="1" thickBot="1" x14ac:dyDescent="0.25">
      <c r="A151" s="145"/>
      <c r="B151" s="145"/>
      <c r="C151" s="145"/>
      <c r="D151" s="145"/>
      <c r="E151" s="145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</row>
    <row r="152" spans="1:16" s="240" customFormat="1" ht="35.1" customHeight="1" thickBot="1" x14ac:dyDescent="0.25">
      <c r="A152" s="229" t="s">
        <v>241</v>
      </c>
      <c r="B152" s="230"/>
      <c r="C152" s="230"/>
      <c r="D152" s="230"/>
      <c r="E152" s="230"/>
      <c r="F152" s="230"/>
      <c r="G152" s="230"/>
      <c r="H152" s="230"/>
      <c r="I152" s="230"/>
      <c r="J152" s="230"/>
      <c r="K152" s="230"/>
      <c r="L152" s="230"/>
      <c r="M152" s="230"/>
      <c r="N152" s="230"/>
      <c r="O152" s="230"/>
    </row>
    <row r="153" spans="1:16" ht="43.5" customHeight="1" thickBot="1" x14ac:dyDescent="0.25">
      <c r="A153" s="229" t="s">
        <v>242</v>
      </c>
      <c r="B153" s="230"/>
      <c r="C153" s="230"/>
      <c r="D153" s="230"/>
      <c r="E153" s="230"/>
      <c r="F153" s="230"/>
      <c r="G153" s="230"/>
      <c r="H153" s="230"/>
      <c r="I153" s="230"/>
      <c r="J153" s="230"/>
      <c r="K153" s="230"/>
      <c r="L153" s="230"/>
      <c r="M153" s="230"/>
      <c r="N153" s="230"/>
      <c r="O153" s="230"/>
    </row>
    <row r="154" spans="1:16" ht="35.1" customHeight="1" x14ac:dyDescent="0.2">
      <c r="A154" s="235">
        <f>+A149+1</f>
        <v>74</v>
      </c>
      <c r="B154" s="72" t="s">
        <v>232</v>
      </c>
      <c r="C154" s="73" t="s">
        <v>335</v>
      </c>
      <c r="D154" s="88" t="s">
        <v>427</v>
      </c>
      <c r="E154" s="72" t="s">
        <v>96</v>
      </c>
      <c r="F154" s="216">
        <v>120000</v>
      </c>
      <c r="G154" s="216">
        <f>F154*2.87%</f>
        <v>3444</v>
      </c>
      <c r="H154" s="68">
        <f>+F154*3.04%</f>
        <v>3648</v>
      </c>
      <c r="I154" s="68"/>
      <c r="J154" s="69">
        <f>+G154+H154+I154</f>
        <v>7092</v>
      </c>
      <c r="K154" s="69">
        <f>+F154-J154</f>
        <v>112908</v>
      </c>
      <c r="L154" s="69">
        <f>+IF(K154*12&lt;=416220.01,0,IF(K154*12&lt;=624329.01,(((K154*12-416220.01)*0.15)/12),IF((K154*12&lt;=867123.01),(31216+0.2*(K154*12-624329.01))/12,((79776+0.25*(K154*12-867123.01))/12))))</f>
        <v>16809.937291666665</v>
      </c>
      <c r="M154" s="234">
        <v>25</v>
      </c>
      <c r="N154" s="215">
        <f>+M154+I154+H154+G154+L154</f>
        <v>23926.937291666665</v>
      </c>
      <c r="O154" s="234">
        <f>+F154-N154</f>
        <v>96073.062708333338</v>
      </c>
    </row>
    <row r="155" spans="1:16" s="219" customFormat="1" ht="35.1" customHeight="1" x14ac:dyDescent="0.2">
      <c r="A155" s="223" t="s">
        <v>99</v>
      </c>
      <c r="B155" s="224"/>
      <c r="C155" s="224"/>
      <c r="D155" s="224"/>
      <c r="E155" s="239"/>
      <c r="F155" s="225">
        <f t="shared" ref="F155:O155" si="54">SUM(F154:F154)</f>
        <v>120000</v>
      </c>
      <c r="G155" s="225">
        <f t="shared" si="54"/>
        <v>3444</v>
      </c>
      <c r="H155" s="225">
        <f t="shared" si="54"/>
        <v>3648</v>
      </c>
      <c r="I155" s="225">
        <f t="shared" si="54"/>
        <v>0</v>
      </c>
      <c r="J155" s="225">
        <f t="shared" si="54"/>
        <v>7092</v>
      </c>
      <c r="K155" s="225">
        <f t="shared" si="54"/>
        <v>112908</v>
      </c>
      <c r="L155" s="225">
        <f t="shared" si="54"/>
        <v>16809.937291666665</v>
      </c>
      <c r="M155" s="225">
        <f t="shared" si="54"/>
        <v>25</v>
      </c>
      <c r="N155" s="225">
        <f t="shared" si="54"/>
        <v>23926.937291666665</v>
      </c>
      <c r="O155" s="225">
        <f t="shared" si="54"/>
        <v>96073.062708333338</v>
      </c>
      <c r="P155" s="339"/>
    </row>
    <row r="156" spans="1:16" s="240" customFormat="1" ht="35.1" customHeight="1" thickBot="1" x14ac:dyDescent="0.25">
      <c r="A156" s="148"/>
      <c r="B156" s="148"/>
      <c r="C156" s="227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</row>
    <row r="157" spans="1:16" s="240" customFormat="1" ht="35.1" customHeight="1" thickBot="1" x14ac:dyDescent="0.25">
      <c r="A157" s="229" t="s">
        <v>68</v>
      </c>
      <c r="B157" s="230"/>
      <c r="C157" s="230"/>
      <c r="D157" s="230"/>
      <c r="E157" s="230"/>
      <c r="F157" s="230"/>
      <c r="G157" s="230"/>
      <c r="H157" s="230"/>
      <c r="I157" s="230"/>
      <c r="J157" s="230"/>
      <c r="K157" s="230"/>
      <c r="L157" s="230"/>
      <c r="M157" s="230"/>
      <c r="N157" s="230"/>
      <c r="O157" s="230"/>
    </row>
    <row r="158" spans="1:16" s="148" customFormat="1" ht="35.1" customHeight="1" x14ac:dyDescent="0.2">
      <c r="A158" s="235">
        <f>+A154+1</f>
        <v>75</v>
      </c>
      <c r="B158" s="272" t="s">
        <v>522</v>
      </c>
      <c r="C158" s="235" t="s">
        <v>335</v>
      </c>
      <c r="D158" s="282" t="s">
        <v>541</v>
      </c>
      <c r="E158" s="238" t="s">
        <v>97</v>
      </c>
      <c r="F158" s="68">
        <v>100000</v>
      </c>
      <c r="G158" s="68">
        <f>F158*2.87%</f>
        <v>2870</v>
      </c>
      <c r="H158" s="68">
        <f>+F158*3.04%</f>
        <v>3040</v>
      </c>
      <c r="I158" s="68">
        <v>1919.78</v>
      </c>
      <c r="J158" s="69">
        <f>+G158+H158+I158</f>
        <v>7829.78</v>
      </c>
      <c r="K158" s="69">
        <f>+F158-J158</f>
        <v>92170.22</v>
      </c>
      <c r="L158" s="69">
        <f>+IF(K158*12&lt;=416220.01,0,IF(K158*12&lt;=624329.01,(((K158*12-416220.01)*0.15)/12),IF((K158*12&lt;=867123.01),(31216+0.2*(K158*12-624329.01))/12,((79776+0.25*(K158*12-867123.01))/12))))</f>
        <v>11625.492291666669</v>
      </c>
      <c r="M158" s="234">
        <v>225</v>
      </c>
      <c r="N158" s="215">
        <f>+M158+I158+H158+G158+L158</f>
        <v>19680.272291666668</v>
      </c>
      <c r="O158" s="234">
        <f>+F158-N158</f>
        <v>80319.727708333332</v>
      </c>
    </row>
    <row r="159" spans="1:16" s="219" customFormat="1" ht="35.1" customHeight="1" thickBot="1" x14ac:dyDescent="0.25">
      <c r="A159" s="223" t="s">
        <v>99</v>
      </c>
      <c r="B159" s="224"/>
      <c r="C159" s="224"/>
      <c r="D159" s="224"/>
      <c r="E159" s="239"/>
      <c r="F159" s="225">
        <f t="shared" ref="F159:O159" si="55">SUM(F158:F158)</f>
        <v>100000</v>
      </c>
      <c r="G159" s="225">
        <f t="shared" si="55"/>
        <v>2870</v>
      </c>
      <c r="H159" s="225">
        <f t="shared" si="55"/>
        <v>3040</v>
      </c>
      <c r="I159" s="225">
        <f t="shared" si="55"/>
        <v>1919.78</v>
      </c>
      <c r="J159" s="225">
        <f t="shared" si="55"/>
        <v>7829.78</v>
      </c>
      <c r="K159" s="225">
        <f t="shared" si="55"/>
        <v>92170.22</v>
      </c>
      <c r="L159" s="225">
        <f t="shared" si="55"/>
        <v>11625.492291666669</v>
      </c>
      <c r="M159" s="225">
        <f t="shared" si="55"/>
        <v>225</v>
      </c>
      <c r="N159" s="225">
        <f t="shared" si="55"/>
        <v>19680.272291666668</v>
      </c>
      <c r="O159" s="225">
        <f t="shared" si="55"/>
        <v>80319.727708333332</v>
      </c>
      <c r="P159" s="339"/>
    </row>
    <row r="160" spans="1:16" s="219" customFormat="1" ht="35.1" customHeight="1" thickBot="1" x14ac:dyDescent="0.25">
      <c r="A160" s="229" t="s">
        <v>69</v>
      </c>
      <c r="B160" s="230"/>
      <c r="C160" s="230"/>
      <c r="D160" s="230"/>
      <c r="E160" s="230"/>
      <c r="F160" s="230"/>
      <c r="G160" s="230"/>
      <c r="H160" s="230"/>
      <c r="I160" s="230"/>
      <c r="J160" s="230"/>
      <c r="K160" s="230"/>
      <c r="L160" s="230"/>
      <c r="M160" s="230"/>
      <c r="N160" s="230"/>
      <c r="O160" s="230"/>
    </row>
    <row r="161" spans="1:16" s="240" customFormat="1" ht="35.1" customHeight="1" x14ac:dyDescent="0.2">
      <c r="A161" s="237">
        <f>+A158+1</f>
        <v>76</v>
      </c>
      <c r="B161" s="214" t="s">
        <v>9</v>
      </c>
      <c r="C161" s="213" t="s">
        <v>335</v>
      </c>
      <c r="D161" s="220" t="s">
        <v>84</v>
      </c>
      <c r="E161" s="214" t="s">
        <v>165</v>
      </c>
      <c r="F161" s="215">
        <v>145000</v>
      </c>
      <c r="G161" s="215">
        <f>F161*2.87%</f>
        <v>4161.5</v>
      </c>
      <c r="H161" s="215">
        <f>+F161*3.04%</f>
        <v>4408</v>
      </c>
      <c r="I161" s="215"/>
      <c r="J161" s="69">
        <f>+G161+H161+I161</f>
        <v>8569.5</v>
      </c>
      <c r="K161" s="69">
        <f>+F161-J161</f>
        <v>136430.5</v>
      </c>
      <c r="L161" s="69">
        <f>+IF(K161*12&lt;=416220.01,0,IF(K161*12&lt;=624329.01,(((K161*12-416220.01)*0.15)/12),IF((K161*12&lt;=867123.01),(31216+0.2*(K161*12-624329.01))/12,((79776+0.25*(K161*12-867123.01))/12))))</f>
        <v>22690.562291666665</v>
      </c>
      <c r="M161" s="84">
        <v>25</v>
      </c>
      <c r="N161" s="215">
        <f>+M161+I161+H161+G161+L161</f>
        <v>31285.062291666665</v>
      </c>
      <c r="O161" s="217">
        <f>+F161-N161</f>
        <v>113714.93770833334</v>
      </c>
    </row>
    <row r="162" spans="1:16" s="98" customFormat="1" ht="35.1" customHeight="1" x14ac:dyDescent="0.2">
      <c r="A162" s="223" t="s">
        <v>99</v>
      </c>
      <c r="B162" s="224"/>
      <c r="C162" s="224"/>
      <c r="D162" s="224"/>
      <c r="E162" s="239"/>
      <c r="F162" s="225">
        <f t="shared" ref="F162:L162" si="56">SUM(F161:F161)</f>
        <v>145000</v>
      </c>
      <c r="G162" s="225">
        <f t="shared" si="56"/>
        <v>4161.5</v>
      </c>
      <c r="H162" s="225">
        <f t="shared" si="56"/>
        <v>4408</v>
      </c>
      <c r="I162" s="225">
        <f t="shared" si="56"/>
        <v>0</v>
      </c>
      <c r="J162" s="225">
        <f t="shared" si="56"/>
        <v>8569.5</v>
      </c>
      <c r="K162" s="225">
        <f t="shared" si="56"/>
        <v>136430.5</v>
      </c>
      <c r="L162" s="225">
        <f t="shared" si="56"/>
        <v>22690.562291666665</v>
      </c>
      <c r="M162" s="225">
        <f>SUM(M161:M161)</f>
        <v>25</v>
      </c>
      <c r="N162" s="225">
        <f t="shared" ref="N162:O162" si="57">SUM(N161:N161)</f>
        <v>31285.062291666665</v>
      </c>
      <c r="O162" s="225">
        <f t="shared" si="57"/>
        <v>113714.93770833334</v>
      </c>
      <c r="P162" s="343"/>
    </row>
    <row r="163" spans="1:16" s="219" customFormat="1" ht="35.1" customHeight="1" thickBot="1" x14ac:dyDescent="0.25">
      <c r="A163" s="146"/>
      <c r="B163" s="146"/>
      <c r="C163" s="146"/>
      <c r="D163" s="146"/>
      <c r="E163" s="146"/>
      <c r="F163" s="218"/>
      <c r="G163" s="218"/>
      <c r="H163" s="218"/>
      <c r="I163" s="218"/>
      <c r="J163" s="218"/>
      <c r="K163" s="218"/>
      <c r="L163" s="218"/>
      <c r="M163" s="218"/>
      <c r="N163" s="218"/>
      <c r="O163" s="218"/>
    </row>
    <row r="164" spans="1:16" s="219" customFormat="1" ht="35.1" customHeight="1" thickBot="1" x14ac:dyDescent="0.25">
      <c r="A164" s="229" t="s">
        <v>240</v>
      </c>
      <c r="B164" s="230"/>
      <c r="C164" s="230"/>
      <c r="D164" s="230"/>
      <c r="E164" s="230"/>
      <c r="F164" s="230"/>
      <c r="G164" s="230"/>
      <c r="H164" s="230"/>
      <c r="I164" s="230"/>
      <c r="J164" s="230"/>
      <c r="K164" s="230"/>
      <c r="L164" s="230"/>
      <c r="M164" s="230"/>
      <c r="N164" s="230"/>
      <c r="O164" s="230"/>
    </row>
    <row r="165" spans="1:16" s="219" customFormat="1" ht="35.1" customHeight="1" x14ac:dyDescent="0.2">
      <c r="A165" s="237">
        <f>+A161+1</f>
        <v>77</v>
      </c>
      <c r="B165" s="238" t="s">
        <v>42</v>
      </c>
      <c r="C165" s="235" t="s">
        <v>335</v>
      </c>
      <c r="D165" s="233" t="s">
        <v>410</v>
      </c>
      <c r="E165" s="238" t="s">
        <v>96</v>
      </c>
      <c r="F165" s="68">
        <v>135000</v>
      </c>
      <c r="G165" s="68">
        <f>F165*2.87%</f>
        <v>3874.5</v>
      </c>
      <c r="H165" s="68">
        <f>+F165*3.04%</f>
        <v>4104</v>
      </c>
      <c r="I165" s="68">
        <v>1919.78</v>
      </c>
      <c r="J165" s="69">
        <f>+G165+H165+I165</f>
        <v>9898.2800000000007</v>
      </c>
      <c r="K165" s="69">
        <f>+F165-J165</f>
        <v>125101.72</v>
      </c>
      <c r="L165" s="69">
        <f t="shared" ref="L165:L169" si="58">+IF(K165*12&lt;=416220.01,0,IF(K165*12&lt;=624329.01,(((K165*12-416220.01)*0.15)/12),IF((K165*12&lt;=867123.01),(31216+0.2*(K165*12-624329.01))/12,((79776+0.25*(K165*12-867123.01))/12))))</f>
        <v>19858.367291666669</v>
      </c>
      <c r="M165" s="234">
        <v>1440.29</v>
      </c>
      <c r="N165" s="215">
        <f>+M165+I165+H165+G165+L165</f>
        <v>31196.937291666669</v>
      </c>
      <c r="O165" s="84">
        <f>+F165-N165</f>
        <v>103803.06270833334</v>
      </c>
    </row>
    <row r="166" spans="1:16" s="206" customFormat="1" ht="35.1" customHeight="1" x14ac:dyDescent="0.2">
      <c r="A166" s="237">
        <f>+A165+1</f>
        <v>78</v>
      </c>
      <c r="B166" s="238" t="s">
        <v>236</v>
      </c>
      <c r="C166" s="235" t="s">
        <v>335</v>
      </c>
      <c r="D166" s="233" t="s">
        <v>235</v>
      </c>
      <c r="E166" s="238" t="s">
        <v>97</v>
      </c>
      <c r="F166" s="68">
        <v>100000</v>
      </c>
      <c r="G166" s="216">
        <f>F166*2.87%</f>
        <v>2870</v>
      </c>
      <c r="H166" s="68">
        <f>+F166*3.04%</f>
        <v>3040</v>
      </c>
      <c r="I166" s="68"/>
      <c r="J166" s="69">
        <f>+G166+H166+I166</f>
        <v>5910</v>
      </c>
      <c r="K166" s="69">
        <f>+F166-J166</f>
        <v>94090</v>
      </c>
      <c r="L166" s="69">
        <f t="shared" si="58"/>
        <v>12105.437291666667</v>
      </c>
      <c r="M166" s="234">
        <v>25</v>
      </c>
      <c r="N166" s="215">
        <f t="shared" ref="N166:N169" si="59">+M166+I166+H166+G166+L166</f>
        <v>18040.437291666669</v>
      </c>
      <c r="O166" s="84">
        <f t="shared" ref="O166:O169" si="60">+F166-N166</f>
        <v>81959.562708333338</v>
      </c>
    </row>
    <row r="167" spans="1:16" s="148" customFormat="1" ht="35.1" customHeight="1" x14ac:dyDescent="0.2">
      <c r="A167" s="237">
        <f>+A166+1</f>
        <v>79</v>
      </c>
      <c r="B167" s="238" t="s">
        <v>221</v>
      </c>
      <c r="C167" s="235" t="s">
        <v>335</v>
      </c>
      <c r="D167" s="250" t="s">
        <v>235</v>
      </c>
      <c r="E167" s="238" t="s">
        <v>96</v>
      </c>
      <c r="F167" s="68">
        <v>90000</v>
      </c>
      <c r="G167" s="216">
        <f>F167*2.87%</f>
        <v>2583</v>
      </c>
      <c r="H167" s="216">
        <f>+F167*3.04%</f>
        <v>2736</v>
      </c>
      <c r="I167" s="216"/>
      <c r="J167" s="215">
        <f>+G167+H167+I167</f>
        <v>5319</v>
      </c>
      <c r="K167" s="215">
        <f>+F167-J167</f>
        <v>84681</v>
      </c>
      <c r="L167" s="69">
        <f t="shared" si="58"/>
        <v>9753.1872916666671</v>
      </c>
      <c r="M167" s="221">
        <v>305</v>
      </c>
      <c r="N167" s="215">
        <f t="shared" si="59"/>
        <v>15377.187291666667</v>
      </c>
      <c r="O167" s="84">
        <f t="shared" si="60"/>
        <v>74622.812708333338</v>
      </c>
    </row>
    <row r="168" spans="1:16" s="148" customFormat="1" ht="35.1" customHeight="1" x14ac:dyDescent="0.2">
      <c r="A168" s="237">
        <f>+A167+1</f>
        <v>80</v>
      </c>
      <c r="B168" s="238" t="s">
        <v>211</v>
      </c>
      <c r="C168" s="235" t="s">
        <v>335</v>
      </c>
      <c r="D168" s="233" t="s">
        <v>235</v>
      </c>
      <c r="E168" s="238" t="s">
        <v>96</v>
      </c>
      <c r="F168" s="68">
        <v>85000</v>
      </c>
      <c r="G168" s="68">
        <f>F168*2.87%</f>
        <v>2439.5</v>
      </c>
      <c r="H168" s="68">
        <f>+F168*3.04%</f>
        <v>2584</v>
      </c>
      <c r="I168" s="68"/>
      <c r="J168" s="69">
        <f>+G168+H168+I168</f>
        <v>5023.5</v>
      </c>
      <c r="K168" s="69">
        <f>+F168-J168</f>
        <v>79976.5</v>
      </c>
      <c r="L168" s="69">
        <f t="shared" si="58"/>
        <v>8577.0622916666671</v>
      </c>
      <c r="M168" s="84">
        <v>4725</v>
      </c>
      <c r="N168" s="215">
        <f t="shared" si="59"/>
        <v>18325.562291666669</v>
      </c>
      <c r="O168" s="84">
        <f t="shared" si="60"/>
        <v>66674.437708333338</v>
      </c>
    </row>
    <row r="169" spans="1:16" s="148" customFormat="1" ht="35.1" customHeight="1" x14ac:dyDescent="0.2">
      <c r="A169" s="237">
        <f>+A168+1</f>
        <v>81</v>
      </c>
      <c r="B169" s="238" t="s">
        <v>233</v>
      </c>
      <c r="C169" s="235" t="s">
        <v>335</v>
      </c>
      <c r="D169" s="233" t="s">
        <v>50</v>
      </c>
      <c r="E169" s="238" t="s">
        <v>97</v>
      </c>
      <c r="F169" s="68">
        <v>50000</v>
      </c>
      <c r="G169" s="68">
        <f>F169*2.87%</f>
        <v>1435</v>
      </c>
      <c r="H169" s="68">
        <f>+F169*3.04%</f>
        <v>1520</v>
      </c>
      <c r="I169" s="68">
        <v>1919.78</v>
      </c>
      <c r="J169" s="69">
        <f>+G169+H169+I169</f>
        <v>4874.78</v>
      </c>
      <c r="K169" s="69">
        <f>+F169-J169</f>
        <v>45125.22</v>
      </c>
      <c r="L169" s="69">
        <f t="shared" si="58"/>
        <v>1566.0328749999999</v>
      </c>
      <c r="M169" s="84">
        <v>17801.62</v>
      </c>
      <c r="N169" s="215">
        <f t="shared" si="59"/>
        <v>24242.432874999999</v>
      </c>
      <c r="O169" s="84">
        <f t="shared" si="60"/>
        <v>25757.567125000001</v>
      </c>
    </row>
    <row r="170" spans="1:16" s="148" customFormat="1" ht="35.1" customHeight="1" x14ac:dyDescent="0.2">
      <c r="A170" s="223" t="s">
        <v>99</v>
      </c>
      <c r="B170" s="224"/>
      <c r="C170" s="224"/>
      <c r="D170" s="224"/>
      <c r="E170" s="239"/>
      <c r="F170" s="225">
        <f>SUM(F165:F169)</f>
        <v>460000</v>
      </c>
      <c r="G170" s="225">
        <f t="shared" ref="G170:O170" si="61">SUM(G165:G169)</f>
        <v>13202</v>
      </c>
      <c r="H170" s="225">
        <f t="shared" si="61"/>
        <v>13984</v>
      </c>
      <c r="I170" s="225">
        <f t="shared" si="61"/>
        <v>3839.56</v>
      </c>
      <c r="J170" s="225">
        <f t="shared" si="61"/>
        <v>31025.559999999998</v>
      </c>
      <c r="K170" s="225">
        <f t="shared" si="61"/>
        <v>428974.43999999994</v>
      </c>
      <c r="L170" s="225">
        <f t="shared" si="61"/>
        <v>51860.087041666673</v>
      </c>
      <c r="M170" s="225">
        <f t="shared" si="61"/>
        <v>24296.91</v>
      </c>
      <c r="N170" s="225">
        <f t="shared" si="61"/>
        <v>107182.55704166667</v>
      </c>
      <c r="O170" s="225">
        <f t="shared" si="61"/>
        <v>352817.44295833335</v>
      </c>
      <c r="P170" s="339"/>
    </row>
    <row r="171" spans="1:16" s="219" customFormat="1" ht="26.45" customHeight="1" thickBot="1" x14ac:dyDescent="0.25">
      <c r="A171" s="227"/>
      <c r="B171" s="260"/>
      <c r="C171" s="261"/>
      <c r="D171" s="260"/>
      <c r="E171" s="260"/>
      <c r="F171" s="262"/>
      <c r="G171" s="148"/>
      <c r="H171" s="148"/>
      <c r="I171" s="148"/>
      <c r="J171" s="148"/>
      <c r="K171" s="148"/>
      <c r="L171" s="148"/>
      <c r="M171" s="148"/>
      <c r="N171" s="148"/>
      <c r="O171" s="148"/>
    </row>
    <row r="172" spans="1:16" s="148" customFormat="1" ht="35.1" customHeight="1" thickBot="1" x14ac:dyDescent="0.25">
      <c r="A172" s="229" t="s">
        <v>70</v>
      </c>
      <c r="B172" s="230"/>
      <c r="C172" s="230"/>
      <c r="D172" s="230"/>
      <c r="E172" s="230"/>
      <c r="F172" s="230"/>
      <c r="G172" s="230"/>
      <c r="H172" s="230"/>
      <c r="I172" s="230"/>
      <c r="J172" s="230"/>
      <c r="K172" s="230"/>
      <c r="L172" s="230"/>
      <c r="M172" s="230"/>
      <c r="N172" s="230"/>
      <c r="O172" s="230"/>
    </row>
    <row r="173" spans="1:16" s="240" customFormat="1" ht="35.1" customHeight="1" x14ac:dyDescent="0.2">
      <c r="A173" s="235">
        <f>+A169+1</f>
        <v>82</v>
      </c>
      <c r="B173" s="72" t="s">
        <v>56</v>
      </c>
      <c r="C173" s="73" t="s">
        <v>335</v>
      </c>
      <c r="D173" s="233" t="s">
        <v>428</v>
      </c>
      <c r="E173" s="72" t="s">
        <v>96</v>
      </c>
      <c r="F173" s="216">
        <v>120000</v>
      </c>
      <c r="G173" s="68">
        <f t="shared" ref="G173:G176" si="62">F173*2.87%</f>
        <v>3444</v>
      </c>
      <c r="H173" s="68">
        <f t="shared" ref="H173:H176" si="63">+F173*3.04%</f>
        <v>3648</v>
      </c>
      <c r="I173" s="68"/>
      <c r="J173" s="69">
        <f t="shared" ref="J173:J176" si="64">+G173+H173+I173</f>
        <v>7092</v>
      </c>
      <c r="K173" s="69">
        <f t="shared" ref="K173:K176" si="65">+F173-J173</f>
        <v>112908</v>
      </c>
      <c r="L173" s="215">
        <f t="shared" ref="L173:L176" si="66">+IF(K173*12&lt;=416220.01,0,IF(K173*12&lt;=624329.01,(((K173*12-416220.01)*0.15)/12),IF((K173*12&lt;=867123.01),(31216+0.2*(K173*12-624329.01))/12,((79776+0.25*(K173*12-867123.01))/12))))</f>
        <v>16809.937291666665</v>
      </c>
      <c r="M173" s="221">
        <v>8400.8700000000008</v>
      </c>
      <c r="N173" s="215">
        <f>+M173+I173+H173+G173+L173</f>
        <v>32302.807291666664</v>
      </c>
      <c r="O173" s="84">
        <f>+F173-N173</f>
        <v>87697.192708333343</v>
      </c>
    </row>
    <row r="174" spans="1:16" s="240" customFormat="1" ht="35.1" customHeight="1" x14ac:dyDescent="0.2">
      <c r="A174" s="235">
        <f>+A173+1</f>
        <v>83</v>
      </c>
      <c r="B174" s="238" t="s">
        <v>234</v>
      </c>
      <c r="C174" s="235" t="s">
        <v>335</v>
      </c>
      <c r="D174" s="250" t="s">
        <v>237</v>
      </c>
      <c r="E174" s="238" t="s">
        <v>96</v>
      </c>
      <c r="F174" s="68">
        <v>90000</v>
      </c>
      <c r="G174" s="68">
        <f>F174*2.87%</f>
        <v>2583</v>
      </c>
      <c r="H174" s="68">
        <f>+F174*3.04%</f>
        <v>2736</v>
      </c>
      <c r="I174" s="68">
        <v>0</v>
      </c>
      <c r="J174" s="69">
        <f>+G174+H174+I174</f>
        <v>5319</v>
      </c>
      <c r="K174" s="69">
        <f>+F174-J174</f>
        <v>84681</v>
      </c>
      <c r="L174" s="215">
        <f t="shared" si="66"/>
        <v>9753.1872916666671</v>
      </c>
      <c r="M174" s="221">
        <v>25</v>
      </c>
      <c r="N174" s="215">
        <f>+M174+I174+H174+G174+L174</f>
        <v>15097.187291666667</v>
      </c>
      <c r="O174" s="84">
        <f>+F174-N174</f>
        <v>74902.812708333338</v>
      </c>
    </row>
    <row r="175" spans="1:16" s="219" customFormat="1" ht="35.1" customHeight="1" x14ac:dyDescent="0.2">
      <c r="A175" s="235">
        <f>+A174+1</f>
        <v>84</v>
      </c>
      <c r="B175" s="72" t="s">
        <v>218</v>
      </c>
      <c r="C175" s="73" t="s">
        <v>335</v>
      </c>
      <c r="D175" s="233" t="s">
        <v>237</v>
      </c>
      <c r="E175" s="72" t="s">
        <v>96</v>
      </c>
      <c r="F175" s="216">
        <v>80000</v>
      </c>
      <c r="G175" s="68">
        <f t="shared" si="62"/>
        <v>2296</v>
      </c>
      <c r="H175" s="68">
        <f t="shared" si="63"/>
        <v>2432</v>
      </c>
      <c r="I175" s="68"/>
      <c r="J175" s="69">
        <f t="shared" si="64"/>
        <v>4728</v>
      </c>
      <c r="K175" s="69">
        <f t="shared" si="65"/>
        <v>75272</v>
      </c>
      <c r="L175" s="215">
        <f t="shared" si="66"/>
        <v>7400.9372916666662</v>
      </c>
      <c r="M175" s="221">
        <v>225</v>
      </c>
      <c r="N175" s="215">
        <f>+M175+I175+H175+G175+L175</f>
        <v>12353.937291666665</v>
      </c>
      <c r="O175" s="84">
        <f>+F175-N175</f>
        <v>67646.062708333338</v>
      </c>
    </row>
    <row r="176" spans="1:16" s="148" customFormat="1" ht="51" customHeight="1" x14ac:dyDescent="0.2">
      <c r="A176" s="213">
        <f>+A175+1</f>
        <v>85</v>
      </c>
      <c r="B176" s="72" t="s">
        <v>111</v>
      </c>
      <c r="C176" s="73" t="s">
        <v>335</v>
      </c>
      <c r="D176" s="72" t="s">
        <v>50</v>
      </c>
      <c r="E176" s="72" t="s">
        <v>190</v>
      </c>
      <c r="F176" s="216">
        <v>45000</v>
      </c>
      <c r="G176" s="216">
        <f t="shared" si="62"/>
        <v>1291.5</v>
      </c>
      <c r="H176" s="216">
        <f t="shared" si="63"/>
        <v>1368</v>
      </c>
      <c r="I176" s="68"/>
      <c r="J176" s="69">
        <f t="shared" si="64"/>
        <v>2659.5</v>
      </c>
      <c r="K176" s="69">
        <f t="shared" si="65"/>
        <v>42340.5</v>
      </c>
      <c r="L176" s="215">
        <f t="shared" si="66"/>
        <v>1148.3248749999998</v>
      </c>
      <c r="M176" s="221">
        <v>225</v>
      </c>
      <c r="N176" s="215">
        <f>+M176+I176+H176+G176+L176</f>
        <v>4032.8248749999998</v>
      </c>
      <c r="O176" s="217">
        <f>+F176-N176</f>
        <v>40967.175125000002</v>
      </c>
    </row>
    <row r="177" spans="1:16" s="148" customFormat="1" ht="41.25" customHeight="1" x14ac:dyDescent="0.2">
      <c r="A177" s="223" t="s">
        <v>99</v>
      </c>
      <c r="B177" s="224"/>
      <c r="C177" s="224"/>
      <c r="D177" s="224"/>
      <c r="E177" s="239"/>
      <c r="F177" s="225">
        <f t="shared" ref="F177:L177" si="67">SUM(F173:F176)</f>
        <v>335000</v>
      </c>
      <c r="G177" s="225">
        <f t="shared" si="67"/>
        <v>9614.5</v>
      </c>
      <c r="H177" s="225">
        <f t="shared" si="67"/>
        <v>10184</v>
      </c>
      <c r="I177" s="225">
        <f t="shared" si="67"/>
        <v>0</v>
      </c>
      <c r="J177" s="225">
        <f t="shared" si="67"/>
        <v>19798.5</v>
      </c>
      <c r="K177" s="225">
        <f t="shared" si="67"/>
        <v>315201.5</v>
      </c>
      <c r="L177" s="225">
        <f t="shared" si="67"/>
        <v>35112.386749999998</v>
      </c>
      <c r="M177" s="225">
        <f>SUM(M173:M176)</f>
        <v>8875.8700000000008</v>
      </c>
      <c r="N177" s="225">
        <f>SUM(N173:N176)</f>
        <v>63786.756749999993</v>
      </c>
      <c r="O177" s="225">
        <f>SUM(O173:O176)</f>
        <v>271213.24325</v>
      </c>
      <c r="P177" s="339"/>
    </row>
    <row r="178" spans="1:16" s="219" customFormat="1" ht="42.75" customHeight="1" thickBot="1" x14ac:dyDescent="0.25">
      <c r="A178" s="146"/>
      <c r="B178" s="146"/>
      <c r="C178" s="146"/>
      <c r="D178" s="146"/>
      <c r="E178" s="146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</row>
    <row r="179" spans="1:16" s="219" customFormat="1" ht="35.1" customHeight="1" thickBot="1" x14ac:dyDescent="0.25">
      <c r="A179" s="229" t="s">
        <v>171</v>
      </c>
      <c r="B179" s="230"/>
      <c r="C179" s="230"/>
      <c r="D179" s="230"/>
      <c r="E179" s="230"/>
      <c r="F179" s="230"/>
      <c r="G179" s="230"/>
      <c r="H179" s="230"/>
      <c r="I179" s="230"/>
      <c r="J179" s="230"/>
      <c r="K179" s="230"/>
      <c r="L179" s="230"/>
      <c r="M179" s="230"/>
      <c r="N179" s="230"/>
      <c r="O179" s="230"/>
    </row>
    <row r="180" spans="1:16" s="219" customFormat="1" ht="35.1" customHeight="1" x14ac:dyDescent="0.2">
      <c r="A180" s="213">
        <f>+A176+1</f>
        <v>86</v>
      </c>
      <c r="B180" s="214" t="s">
        <v>153</v>
      </c>
      <c r="C180" s="213" t="s">
        <v>335</v>
      </c>
      <c r="D180" s="213" t="s">
        <v>239</v>
      </c>
      <c r="E180" s="214" t="s">
        <v>96</v>
      </c>
      <c r="F180" s="264">
        <v>60000</v>
      </c>
      <c r="G180" s="69">
        <f>F180*2.87%</f>
        <v>1722</v>
      </c>
      <c r="H180" s="69">
        <f>+F180*3.04%</f>
        <v>1824</v>
      </c>
      <c r="I180" s="265"/>
      <c r="J180" s="69">
        <f>+G180+H180+I180</f>
        <v>3546</v>
      </c>
      <c r="K180" s="69">
        <f>+F180-J180</f>
        <v>56454</v>
      </c>
      <c r="L180" s="69">
        <f t="shared" ref="L180" si="68">+IF(K180*12&lt;=416220.01,0,IF(K180*12&lt;=624329.01,(((K180*12-416220.01)*0.15)/12),IF((K180*12&lt;=867123.01),(31216+0.2*(K180*12-624329.01))/12,((79776+0.25*(K180*12-867123.01))/12))))</f>
        <v>3486.6498333333329</v>
      </c>
      <c r="M180" s="84">
        <v>3290.29</v>
      </c>
      <c r="N180" s="215">
        <f>+M180+I180+H180+G180+L180</f>
        <v>10322.939833333334</v>
      </c>
      <c r="O180" s="84">
        <f>+F180-N180</f>
        <v>49677.060166666663</v>
      </c>
    </row>
    <row r="181" spans="1:16" s="148" customFormat="1" ht="35.1" customHeight="1" x14ac:dyDescent="0.2">
      <c r="A181" s="223" t="s">
        <v>99</v>
      </c>
      <c r="B181" s="224"/>
      <c r="C181" s="224"/>
      <c r="D181" s="224"/>
      <c r="E181" s="239"/>
      <c r="F181" s="225">
        <f t="shared" ref="F181:L181" si="69">SUM(F180)</f>
        <v>60000</v>
      </c>
      <c r="G181" s="225">
        <f t="shared" si="69"/>
        <v>1722</v>
      </c>
      <c r="H181" s="225">
        <f t="shared" si="69"/>
        <v>1824</v>
      </c>
      <c r="I181" s="225">
        <f t="shared" si="69"/>
        <v>0</v>
      </c>
      <c r="J181" s="225">
        <f t="shared" si="69"/>
        <v>3546</v>
      </c>
      <c r="K181" s="225">
        <f t="shared" si="69"/>
        <v>56454</v>
      </c>
      <c r="L181" s="225">
        <f t="shared" si="69"/>
        <v>3486.6498333333329</v>
      </c>
      <c r="M181" s="225">
        <f>SUM(M180)</f>
        <v>3290.29</v>
      </c>
      <c r="N181" s="225">
        <f t="shared" ref="N181:O181" si="70">SUM(N180)</f>
        <v>10322.939833333334</v>
      </c>
      <c r="O181" s="225">
        <f t="shared" si="70"/>
        <v>49677.060166666663</v>
      </c>
      <c r="P181" s="339"/>
    </row>
    <row r="182" spans="1:16" s="148" customFormat="1" ht="35.1" customHeight="1" thickBot="1" x14ac:dyDescent="0.25">
      <c r="A182" s="146"/>
      <c r="B182" s="146"/>
      <c r="C182" s="146"/>
      <c r="D182" s="146"/>
      <c r="E182" s="146"/>
      <c r="F182" s="266"/>
      <c r="G182" s="218"/>
      <c r="H182" s="218"/>
      <c r="I182" s="218"/>
      <c r="J182" s="218"/>
      <c r="K182" s="218"/>
      <c r="L182" s="218"/>
      <c r="M182" s="218"/>
      <c r="N182" s="218"/>
      <c r="O182" s="218"/>
    </row>
    <row r="183" spans="1:16" s="219" customFormat="1" ht="44.25" customHeight="1" thickBot="1" x14ac:dyDescent="0.25">
      <c r="A183" s="229" t="s">
        <v>243</v>
      </c>
      <c r="B183" s="230"/>
      <c r="C183" s="230"/>
      <c r="D183" s="230"/>
      <c r="E183" s="230"/>
      <c r="F183" s="230"/>
      <c r="G183" s="230"/>
      <c r="H183" s="230"/>
      <c r="I183" s="230"/>
      <c r="J183" s="230"/>
      <c r="K183" s="230"/>
      <c r="L183" s="230"/>
      <c r="M183" s="230"/>
      <c r="N183" s="230"/>
      <c r="O183" s="230"/>
    </row>
    <row r="184" spans="1:16" s="219" customFormat="1" ht="36.75" customHeight="1" x14ac:dyDescent="0.2">
      <c r="A184" s="213">
        <f>+A180+1</f>
        <v>87</v>
      </c>
      <c r="B184" s="72" t="s">
        <v>8</v>
      </c>
      <c r="C184" s="73" t="s">
        <v>335</v>
      </c>
      <c r="D184" s="88" t="s">
        <v>570</v>
      </c>
      <c r="E184" s="72" t="s">
        <v>96</v>
      </c>
      <c r="F184" s="216">
        <v>170000</v>
      </c>
      <c r="G184" s="69">
        <f>F184*2.87%</f>
        <v>4879</v>
      </c>
      <c r="H184" s="69">
        <f>+F184*3.04%</f>
        <v>5168</v>
      </c>
      <c r="I184" s="69">
        <v>0</v>
      </c>
      <c r="J184" s="69">
        <f>+G184+H184+I184</f>
        <v>10047</v>
      </c>
      <c r="K184" s="69">
        <f>+F184-J184</f>
        <v>159953</v>
      </c>
      <c r="L184" s="69">
        <f t="shared" ref="L184:L185" si="71">+IF(K184*12&lt;=416220.01,0,IF(K184*12&lt;=624329.01,(((K184*12-416220.01)*0.15)/12),IF((K184*12&lt;=867123.01),(31216+0.2*(K184*12-624329.01))/12,((79776+0.25*(K184*12-867123.01))/12))))</f>
        <v>28571.187291666665</v>
      </c>
      <c r="M184" s="84">
        <v>2450.29</v>
      </c>
      <c r="N184" s="215">
        <f>+M184+I184+H184+G184+L184</f>
        <v>41068.47729166667</v>
      </c>
      <c r="O184" s="84">
        <f>+F184-N184</f>
        <v>128931.52270833333</v>
      </c>
    </row>
    <row r="185" spans="1:16" s="219" customFormat="1" ht="46.5" customHeight="1" x14ac:dyDescent="0.2">
      <c r="A185" s="235">
        <f>+A184+1</f>
        <v>88</v>
      </c>
      <c r="B185" s="238" t="s">
        <v>78</v>
      </c>
      <c r="C185" s="235" t="s">
        <v>334</v>
      </c>
      <c r="D185" s="238" t="s">
        <v>74</v>
      </c>
      <c r="E185" s="238" t="s">
        <v>97</v>
      </c>
      <c r="F185" s="68">
        <v>80000</v>
      </c>
      <c r="G185" s="68">
        <f>F185*2.87%</f>
        <v>2296</v>
      </c>
      <c r="H185" s="216">
        <f>+F185*3.04%</f>
        <v>2432</v>
      </c>
      <c r="I185" s="216">
        <v>0</v>
      </c>
      <c r="J185" s="215">
        <f>+G185+H185+I185</f>
        <v>4728</v>
      </c>
      <c r="K185" s="215">
        <f>+F185-J185</f>
        <v>75272</v>
      </c>
      <c r="L185" s="69">
        <f t="shared" si="71"/>
        <v>7400.9372916666662</v>
      </c>
      <c r="M185" s="217">
        <v>6536.01</v>
      </c>
      <c r="N185" s="215">
        <f>+M185+I185+H185+G185+L185</f>
        <v>18664.947291666667</v>
      </c>
      <c r="O185" s="217">
        <f>+F185-N185</f>
        <v>61335.052708333329</v>
      </c>
    </row>
    <row r="186" spans="1:16" s="219" customFormat="1" ht="45" customHeight="1" thickBot="1" x14ac:dyDescent="0.25">
      <c r="A186" s="223" t="s">
        <v>99</v>
      </c>
      <c r="B186" s="224"/>
      <c r="C186" s="224"/>
      <c r="D186" s="224"/>
      <c r="E186" s="239"/>
      <c r="F186" s="225">
        <f t="shared" ref="F186:L186" si="72">SUM(F184:F185)</f>
        <v>250000</v>
      </c>
      <c r="G186" s="225">
        <f t="shared" si="72"/>
        <v>7175</v>
      </c>
      <c r="H186" s="225">
        <f t="shared" si="72"/>
        <v>7600</v>
      </c>
      <c r="I186" s="225">
        <f t="shared" si="72"/>
        <v>0</v>
      </c>
      <c r="J186" s="225">
        <f t="shared" si="72"/>
        <v>14775</v>
      </c>
      <c r="K186" s="225">
        <f t="shared" si="72"/>
        <v>235225</v>
      </c>
      <c r="L186" s="225">
        <f t="shared" si="72"/>
        <v>35972.124583333331</v>
      </c>
      <c r="M186" s="225">
        <f>SUM(M184:M185)</f>
        <v>8986.2999999999993</v>
      </c>
      <c r="N186" s="225">
        <f t="shared" ref="N186:O186" si="73">SUM(N184:N185)</f>
        <v>59733.424583333341</v>
      </c>
      <c r="O186" s="225">
        <f t="shared" si="73"/>
        <v>190266.57541666666</v>
      </c>
      <c r="P186" s="339"/>
    </row>
    <row r="187" spans="1:16" s="148" customFormat="1" ht="46.5" customHeight="1" thickBot="1" x14ac:dyDescent="0.25">
      <c r="A187" s="208" t="s">
        <v>244</v>
      </c>
      <c r="B187" s="209"/>
      <c r="C187" s="209"/>
      <c r="D187" s="209"/>
      <c r="E187" s="209"/>
      <c r="F187" s="209"/>
      <c r="G187" s="209"/>
      <c r="H187" s="209"/>
      <c r="I187" s="209"/>
      <c r="J187" s="209"/>
      <c r="K187" s="209"/>
      <c r="L187" s="209"/>
      <c r="M187" s="209"/>
      <c r="N187" s="209"/>
      <c r="O187" s="209"/>
    </row>
    <row r="188" spans="1:16" s="148" customFormat="1" ht="33" customHeight="1" x14ac:dyDescent="0.2">
      <c r="A188" s="237">
        <f>+A185+1</f>
        <v>89</v>
      </c>
      <c r="B188" s="72" t="s">
        <v>245</v>
      </c>
      <c r="C188" s="73" t="s">
        <v>334</v>
      </c>
      <c r="D188" s="72" t="s">
        <v>88</v>
      </c>
      <c r="E188" s="72" t="s">
        <v>97</v>
      </c>
      <c r="F188" s="216">
        <v>80000</v>
      </c>
      <c r="G188" s="68">
        <f>F188*2.87%</f>
        <v>2296</v>
      </c>
      <c r="H188" s="68">
        <f>+F188*3.04%</f>
        <v>2432</v>
      </c>
      <c r="I188" s="68"/>
      <c r="J188" s="69">
        <f>+G188+H188+I188</f>
        <v>4728</v>
      </c>
      <c r="K188" s="69">
        <f>+F188-J188</f>
        <v>75272</v>
      </c>
      <c r="L188" s="69">
        <f t="shared" ref="L188:L190" si="74">+IF(K188*12&lt;=416220.01,0,IF(K188*12&lt;=624329.01,(((K188*12-416220.01)*0.15)/12),IF((K188*12&lt;=867123.01),(31216+0.2*(K188*12-624329.01))/12,((79776+0.25*(K188*12-867123.01))/12))))</f>
        <v>7400.9372916666662</v>
      </c>
      <c r="M188" s="84">
        <v>29904.95</v>
      </c>
      <c r="N188" s="215">
        <f>+M188+I188+H188+G188+L188</f>
        <v>42033.887291666666</v>
      </c>
      <c r="O188" s="234">
        <f>+F188-N188</f>
        <v>37966.112708333334</v>
      </c>
    </row>
    <row r="189" spans="1:16" s="148" customFormat="1" ht="33.75" customHeight="1" x14ac:dyDescent="0.2">
      <c r="A189" s="237">
        <f>+A188+1</f>
        <v>90</v>
      </c>
      <c r="B189" s="72" t="s">
        <v>509</v>
      </c>
      <c r="C189" s="73" t="s">
        <v>335</v>
      </c>
      <c r="D189" s="72" t="s">
        <v>508</v>
      </c>
      <c r="E189" s="72" t="s">
        <v>97</v>
      </c>
      <c r="F189" s="216">
        <v>80000</v>
      </c>
      <c r="G189" s="68">
        <f>F189*2.87%</f>
        <v>2296</v>
      </c>
      <c r="H189" s="68">
        <f>+F189*3.04%</f>
        <v>2432</v>
      </c>
      <c r="I189" s="68"/>
      <c r="J189" s="69">
        <f>+G189+H189+I189</f>
        <v>4728</v>
      </c>
      <c r="K189" s="69">
        <f>+F189-J189</f>
        <v>75272</v>
      </c>
      <c r="L189" s="69">
        <f t="shared" si="74"/>
        <v>7400.9372916666662</v>
      </c>
      <c r="M189" s="84">
        <v>5090.29</v>
      </c>
      <c r="N189" s="215">
        <f t="shared" ref="N189:N190" si="75">+M189+I189+H189+G189+L189</f>
        <v>17219.227291666666</v>
      </c>
      <c r="O189" s="234">
        <f t="shared" ref="O189:O190" si="76">+F189-N189</f>
        <v>62780.77270833333</v>
      </c>
    </row>
    <row r="190" spans="1:16" s="148" customFormat="1" ht="33" customHeight="1" x14ac:dyDescent="0.2">
      <c r="A190" s="237">
        <f>+A189+1</f>
        <v>91</v>
      </c>
      <c r="B190" s="72" t="s">
        <v>282</v>
      </c>
      <c r="C190" s="73" t="s">
        <v>335</v>
      </c>
      <c r="D190" s="72" t="s">
        <v>512</v>
      </c>
      <c r="E190" s="72" t="s">
        <v>96</v>
      </c>
      <c r="F190" s="216">
        <v>45000</v>
      </c>
      <c r="G190" s="68">
        <f>F190*2.87%</f>
        <v>1291.5</v>
      </c>
      <c r="H190" s="68">
        <f>+F190*3.04%</f>
        <v>1368</v>
      </c>
      <c r="I190" s="68"/>
      <c r="J190" s="69">
        <f>+G190+H190+I190</f>
        <v>2659.5</v>
      </c>
      <c r="K190" s="69">
        <f>+F190-J190</f>
        <v>42340.5</v>
      </c>
      <c r="L190" s="69">
        <f t="shared" si="74"/>
        <v>1148.3248749999998</v>
      </c>
      <c r="M190" s="84">
        <v>6330.29</v>
      </c>
      <c r="N190" s="215">
        <f t="shared" si="75"/>
        <v>10138.114875000001</v>
      </c>
      <c r="O190" s="234">
        <f t="shared" si="76"/>
        <v>34861.885125000001</v>
      </c>
    </row>
    <row r="191" spans="1:16" s="219" customFormat="1" ht="28.5" customHeight="1" x14ac:dyDescent="0.2">
      <c r="A191" s="223" t="s">
        <v>99</v>
      </c>
      <c r="B191" s="224"/>
      <c r="C191" s="224"/>
      <c r="D191" s="224"/>
      <c r="E191" s="239"/>
      <c r="F191" s="225">
        <f t="shared" ref="F191:O191" si="77">SUM(F188:F190)</f>
        <v>205000</v>
      </c>
      <c r="G191" s="225">
        <f t="shared" si="77"/>
        <v>5883.5</v>
      </c>
      <c r="H191" s="225">
        <f t="shared" si="77"/>
        <v>6232</v>
      </c>
      <c r="I191" s="225">
        <f t="shared" si="77"/>
        <v>0</v>
      </c>
      <c r="J191" s="225">
        <f t="shared" si="77"/>
        <v>12115.5</v>
      </c>
      <c r="K191" s="225">
        <f t="shared" si="77"/>
        <v>192884.5</v>
      </c>
      <c r="L191" s="225">
        <f t="shared" si="77"/>
        <v>15950.199458333333</v>
      </c>
      <c r="M191" s="225">
        <f t="shared" si="77"/>
        <v>41325.53</v>
      </c>
      <c r="N191" s="225">
        <f t="shared" si="77"/>
        <v>69391.229458333328</v>
      </c>
      <c r="O191" s="225">
        <f t="shared" si="77"/>
        <v>135608.77054166666</v>
      </c>
      <c r="P191" s="339"/>
    </row>
    <row r="192" spans="1:16" s="252" customFormat="1" ht="31.5" customHeight="1" thickBot="1" x14ac:dyDescent="0.25">
      <c r="A192" s="203"/>
      <c r="B192" s="147"/>
      <c r="C192" s="203"/>
      <c r="D192" s="228"/>
      <c r="E192" s="228"/>
      <c r="F192" s="148"/>
      <c r="G192" s="149"/>
      <c r="H192" s="149"/>
      <c r="I192" s="149"/>
      <c r="J192" s="149"/>
      <c r="K192" s="149"/>
      <c r="L192" s="149"/>
      <c r="M192" s="149"/>
      <c r="N192" s="149"/>
      <c r="O192" s="149"/>
    </row>
    <row r="193" spans="1:16" s="219" customFormat="1" ht="35.1" customHeight="1" thickBot="1" x14ac:dyDescent="0.25">
      <c r="A193" s="208" t="s">
        <v>246</v>
      </c>
      <c r="B193" s="209"/>
      <c r="C193" s="209"/>
      <c r="D193" s="209"/>
      <c r="E193" s="209"/>
      <c r="F193" s="209"/>
      <c r="G193" s="209"/>
      <c r="H193" s="209"/>
      <c r="I193" s="209"/>
      <c r="J193" s="209"/>
      <c r="K193" s="209"/>
      <c r="L193" s="209"/>
      <c r="M193" s="209"/>
      <c r="N193" s="209"/>
      <c r="O193" s="209"/>
    </row>
    <row r="194" spans="1:16" s="148" customFormat="1" ht="35.1" customHeight="1" x14ac:dyDescent="0.2">
      <c r="A194" s="213">
        <f>+A190+1</f>
        <v>92</v>
      </c>
      <c r="B194" s="214" t="s">
        <v>248</v>
      </c>
      <c r="C194" s="213" t="s">
        <v>335</v>
      </c>
      <c r="D194" s="220" t="s">
        <v>526</v>
      </c>
      <c r="E194" s="72" t="s">
        <v>96</v>
      </c>
      <c r="F194" s="215">
        <v>145000</v>
      </c>
      <c r="G194" s="69">
        <f>F194*2.87%</f>
        <v>4161.5</v>
      </c>
      <c r="H194" s="69">
        <f>F194*3.04%</f>
        <v>4408</v>
      </c>
      <c r="I194" s="69">
        <v>1919.78</v>
      </c>
      <c r="J194" s="69">
        <f>+G194+H194+I194</f>
        <v>10489.28</v>
      </c>
      <c r="K194" s="69">
        <f>+F194-J194</f>
        <v>134510.72</v>
      </c>
      <c r="L194" s="69">
        <f t="shared" ref="L194" si="78">+IF(K194*12&lt;=416220.01,0,IF(K194*12&lt;=624329.01,(((K194*12-416220.01)*0.15)/12),IF((K194*12&lt;=867123.01),(31216+0.2*(K194*12-624329.01))/12,((79776+0.25*(K194*12-867123.01))/12))))</f>
        <v>22210.617291666669</v>
      </c>
      <c r="M194" s="84">
        <v>25</v>
      </c>
      <c r="N194" s="69">
        <f>+M194+I194+H194+G194+L194</f>
        <v>32724.897291666668</v>
      </c>
      <c r="O194" s="69">
        <f>+F194-N194</f>
        <v>112275.10270833333</v>
      </c>
    </row>
    <row r="195" spans="1:16" s="219" customFormat="1" ht="35.1" customHeight="1" x14ac:dyDescent="0.2">
      <c r="A195" s="223" t="s">
        <v>99</v>
      </c>
      <c r="B195" s="224"/>
      <c r="C195" s="224"/>
      <c r="D195" s="224"/>
      <c r="E195" s="239"/>
      <c r="F195" s="225">
        <f t="shared" ref="F195:L195" si="79">SUM(F194:F194)</f>
        <v>145000</v>
      </c>
      <c r="G195" s="225">
        <f t="shared" si="79"/>
        <v>4161.5</v>
      </c>
      <c r="H195" s="225">
        <f t="shared" si="79"/>
        <v>4408</v>
      </c>
      <c r="I195" s="225">
        <f t="shared" si="79"/>
        <v>1919.78</v>
      </c>
      <c r="J195" s="225">
        <f t="shared" si="79"/>
        <v>10489.28</v>
      </c>
      <c r="K195" s="225">
        <f t="shared" si="79"/>
        <v>134510.72</v>
      </c>
      <c r="L195" s="225">
        <f t="shared" si="79"/>
        <v>22210.617291666669</v>
      </c>
      <c r="M195" s="225">
        <f>SUM(M194:M194)</f>
        <v>25</v>
      </c>
      <c r="N195" s="225">
        <f t="shared" ref="N195:O195" si="80">SUM(N194:N194)</f>
        <v>32724.897291666668</v>
      </c>
      <c r="O195" s="225">
        <f t="shared" si="80"/>
        <v>112275.10270833333</v>
      </c>
      <c r="P195" s="339"/>
    </row>
    <row r="196" spans="1:16" s="148" customFormat="1" ht="35.1" customHeight="1" thickBot="1" x14ac:dyDescent="0.25">
      <c r="A196" s="146"/>
      <c r="B196" s="146"/>
      <c r="C196" s="146"/>
      <c r="D196" s="146"/>
      <c r="E196" s="146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</row>
    <row r="197" spans="1:16" s="148" customFormat="1" ht="35.1" customHeight="1" thickBot="1" x14ac:dyDescent="0.25">
      <c r="A197" s="229" t="s">
        <v>249</v>
      </c>
      <c r="B197" s="230"/>
      <c r="C197" s="230"/>
      <c r="D197" s="230"/>
      <c r="E197" s="230"/>
      <c r="F197" s="230"/>
      <c r="G197" s="230"/>
      <c r="H197" s="230"/>
      <c r="I197" s="230"/>
      <c r="J197" s="230"/>
      <c r="K197" s="230"/>
      <c r="L197" s="230"/>
      <c r="M197" s="230"/>
      <c r="N197" s="230"/>
      <c r="O197" s="230"/>
    </row>
    <row r="198" spans="1:16" s="219" customFormat="1" ht="35.1" customHeight="1" x14ac:dyDescent="0.2">
      <c r="A198" s="235">
        <f>+A194+1</f>
        <v>93</v>
      </c>
      <c r="B198" s="72" t="s">
        <v>86</v>
      </c>
      <c r="C198" s="73" t="s">
        <v>335</v>
      </c>
      <c r="D198" s="72" t="s">
        <v>87</v>
      </c>
      <c r="E198" s="72" t="s">
        <v>97</v>
      </c>
      <c r="F198" s="216">
        <v>100000</v>
      </c>
      <c r="G198" s="68">
        <f>F198*2.87%</f>
        <v>2870</v>
      </c>
      <c r="H198" s="68">
        <f>+F198*3.04%</f>
        <v>3040</v>
      </c>
      <c r="I198" s="68"/>
      <c r="J198" s="69">
        <f>+G198+H198+I198</f>
        <v>5910</v>
      </c>
      <c r="K198" s="69">
        <f>+F198-J198</f>
        <v>94090</v>
      </c>
      <c r="L198" s="69">
        <f t="shared" ref="L198" si="81">+IF(K198*12&lt;=416220.01,0,IF(K198*12&lt;=624329.01,(((K198*12-416220.01)*0.15)/12),IF((K198*12&lt;=867123.01),(31216+0.2*(K198*12-624329.01))/12,((79776+0.25*(K198*12-867123.01))/12))))</f>
        <v>12105.437291666667</v>
      </c>
      <c r="M198" s="217">
        <v>25</v>
      </c>
      <c r="N198" s="215">
        <f>+M198+I198+H198+G198+L198</f>
        <v>18040.437291666669</v>
      </c>
      <c r="O198" s="69">
        <f>+F198-N198</f>
        <v>81959.562708333338</v>
      </c>
    </row>
    <row r="199" spans="1:16" s="148" customFormat="1" ht="35.1" customHeight="1" x14ac:dyDescent="0.2">
      <c r="A199" s="223" t="s">
        <v>99</v>
      </c>
      <c r="B199" s="224"/>
      <c r="C199" s="224"/>
      <c r="D199" s="224"/>
      <c r="E199" s="239"/>
      <c r="F199" s="225">
        <f>SUM(F198)</f>
        <v>100000</v>
      </c>
      <c r="G199" s="225">
        <f t="shared" ref="G199:O199" si="82">SUM(G198)</f>
        <v>2870</v>
      </c>
      <c r="H199" s="225">
        <f t="shared" si="82"/>
        <v>3040</v>
      </c>
      <c r="I199" s="225">
        <f t="shared" si="82"/>
        <v>0</v>
      </c>
      <c r="J199" s="225">
        <f t="shared" si="82"/>
        <v>5910</v>
      </c>
      <c r="K199" s="225">
        <f t="shared" si="82"/>
        <v>94090</v>
      </c>
      <c r="L199" s="225">
        <f t="shared" si="82"/>
        <v>12105.437291666667</v>
      </c>
      <c r="M199" s="225">
        <f t="shared" si="82"/>
        <v>25</v>
      </c>
      <c r="N199" s="225">
        <f t="shared" si="82"/>
        <v>18040.437291666669</v>
      </c>
      <c r="O199" s="225">
        <f t="shared" si="82"/>
        <v>81959.562708333338</v>
      </c>
      <c r="P199" s="339"/>
    </row>
    <row r="200" spans="1:16" s="148" customFormat="1" ht="35.1" customHeight="1" thickBot="1" x14ac:dyDescent="0.25">
      <c r="A200" s="227"/>
      <c r="B200" s="260"/>
      <c r="C200" s="261"/>
      <c r="D200" s="260"/>
      <c r="E200" s="260"/>
      <c r="F200" s="262"/>
    </row>
    <row r="201" spans="1:16" s="148" customFormat="1" ht="35.1" customHeight="1" x14ac:dyDescent="0.2">
      <c r="A201" s="267" t="s">
        <v>172</v>
      </c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  <c r="N201" s="268"/>
      <c r="O201" s="268"/>
    </row>
    <row r="202" spans="1:16" s="148" customFormat="1" ht="35.1" customHeight="1" x14ac:dyDescent="0.2">
      <c r="A202" s="73">
        <f>+A198+1</f>
        <v>94</v>
      </c>
      <c r="B202" s="72" t="s">
        <v>513</v>
      </c>
      <c r="C202" s="73" t="s">
        <v>335</v>
      </c>
      <c r="D202" s="72" t="s">
        <v>514</v>
      </c>
      <c r="E202" s="263" t="s">
        <v>190</v>
      </c>
      <c r="F202" s="216">
        <v>60000</v>
      </c>
      <c r="G202" s="216">
        <f>F202*2.87%</f>
        <v>1722</v>
      </c>
      <c r="H202" s="216">
        <f>+F202*3.04%</f>
        <v>1824</v>
      </c>
      <c r="I202" s="216">
        <f>1919.78*2</f>
        <v>3839.56</v>
      </c>
      <c r="J202" s="215">
        <f>+G202+H202+I202</f>
        <v>7385.5599999999995</v>
      </c>
      <c r="K202" s="215">
        <f>+F202-J202</f>
        <v>52614.44</v>
      </c>
      <c r="L202" s="69">
        <f t="shared" ref="L202:L204" si="83">+IF(K202*12&lt;=416220.01,0,IF(K202*12&lt;=624329.01,(((K202*12-416220.01)*0.15)/12),IF((K202*12&lt;=867123.01),(31216+0.2*(K202*12-624329.01))/12,((79776+0.25*(K202*12-867123.01))/12))))</f>
        <v>2718.7378333333336</v>
      </c>
      <c r="M202" s="217">
        <v>12756.36</v>
      </c>
      <c r="N202" s="215">
        <f>+M202+I202+H202+G202+L202</f>
        <v>22860.657833333335</v>
      </c>
      <c r="O202" s="69">
        <f>+F202-N202</f>
        <v>37139.342166666669</v>
      </c>
    </row>
    <row r="203" spans="1:16" s="219" customFormat="1" ht="35.1" customHeight="1" x14ac:dyDescent="0.2">
      <c r="A203" s="73">
        <f>+A202+1</f>
        <v>95</v>
      </c>
      <c r="B203" s="72" t="s">
        <v>440</v>
      </c>
      <c r="C203" s="73" t="s">
        <v>335</v>
      </c>
      <c r="D203" s="72" t="s">
        <v>13</v>
      </c>
      <c r="E203" s="263" t="s">
        <v>190</v>
      </c>
      <c r="F203" s="216">
        <v>45000</v>
      </c>
      <c r="G203" s="216">
        <f>F203*2.87%</f>
        <v>1291.5</v>
      </c>
      <c r="H203" s="216">
        <f>+F203*3.04%</f>
        <v>1368</v>
      </c>
      <c r="I203" s="216"/>
      <c r="J203" s="215">
        <f>+G203+H203+I203</f>
        <v>2659.5</v>
      </c>
      <c r="K203" s="215">
        <f t="shared" ref="K203" si="84">+F203-J203</f>
        <v>42340.5</v>
      </c>
      <c r="L203" s="69">
        <v>0</v>
      </c>
      <c r="M203" s="217">
        <v>4104.92</v>
      </c>
      <c r="N203" s="215">
        <f>+M203+I203+H203+G203+L203</f>
        <v>6764.42</v>
      </c>
      <c r="O203" s="69">
        <f>+F203-N203</f>
        <v>38235.58</v>
      </c>
    </row>
    <row r="204" spans="1:16" s="148" customFormat="1" ht="35.1" customHeight="1" x14ac:dyDescent="0.2">
      <c r="A204" s="73">
        <v>97</v>
      </c>
      <c r="B204" s="72" t="s">
        <v>600</v>
      </c>
      <c r="C204" s="73" t="s">
        <v>335</v>
      </c>
      <c r="D204" s="72" t="s">
        <v>476</v>
      </c>
      <c r="E204" s="263" t="s">
        <v>190</v>
      </c>
      <c r="F204" s="216">
        <v>38000</v>
      </c>
      <c r="G204" s="216">
        <f>F204*2.87%</f>
        <v>1090.5999999999999</v>
      </c>
      <c r="H204" s="216">
        <f>+F204*3.04%</f>
        <v>1155.2</v>
      </c>
      <c r="I204" s="216">
        <v>1919.78</v>
      </c>
      <c r="J204" s="215">
        <f>+G204+H204+I204</f>
        <v>4165.58</v>
      </c>
      <c r="K204" s="215">
        <f>+F204-J204</f>
        <v>33834.42</v>
      </c>
      <c r="L204" s="69">
        <f t="shared" si="83"/>
        <v>0</v>
      </c>
      <c r="M204" s="217">
        <v>225</v>
      </c>
      <c r="N204" s="215">
        <f>+M204+I204+H204+G204+L204</f>
        <v>4390.58</v>
      </c>
      <c r="O204" s="69">
        <f>+F204-N204</f>
        <v>33609.42</v>
      </c>
    </row>
    <row r="205" spans="1:16" s="148" customFormat="1" ht="33" customHeight="1" x14ac:dyDescent="0.2">
      <c r="A205" s="223" t="s">
        <v>99</v>
      </c>
      <c r="B205" s="224"/>
      <c r="C205" s="224"/>
      <c r="D205" s="224"/>
      <c r="E205" s="239"/>
      <c r="F205" s="225">
        <f t="shared" ref="F205:O205" si="85">SUM(F202:F204)</f>
        <v>143000</v>
      </c>
      <c r="G205" s="225">
        <f t="shared" si="85"/>
        <v>4104.1000000000004</v>
      </c>
      <c r="H205" s="225">
        <f t="shared" si="85"/>
        <v>4347.2</v>
      </c>
      <c r="I205" s="225">
        <f t="shared" si="85"/>
        <v>5759.34</v>
      </c>
      <c r="J205" s="225">
        <f t="shared" si="85"/>
        <v>14210.64</v>
      </c>
      <c r="K205" s="225">
        <f t="shared" si="85"/>
        <v>128789.36</v>
      </c>
      <c r="L205" s="225">
        <f t="shared" si="85"/>
        <v>2718.7378333333336</v>
      </c>
      <c r="M205" s="225">
        <f t="shared" si="85"/>
        <v>17086.28</v>
      </c>
      <c r="N205" s="225">
        <f>SUM(N202:N204)</f>
        <v>34015.657833333338</v>
      </c>
      <c r="O205" s="225">
        <f t="shared" si="85"/>
        <v>108984.34216666667</v>
      </c>
      <c r="P205" s="339"/>
    </row>
    <row r="206" spans="1:16" s="219" customFormat="1" ht="35.1" customHeight="1" thickBot="1" x14ac:dyDescent="0.25">
      <c r="A206" s="269"/>
      <c r="B206" s="270"/>
      <c r="C206" s="146"/>
      <c r="D206" s="271"/>
      <c r="E206" s="271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</row>
    <row r="207" spans="1:16" s="218" customFormat="1" ht="35.1" customHeight="1" thickBot="1" x14ac:dyDescent="0.25">
      <c r="A207" s="229" t="s">
        <v>64</v>
      </c>
      <c r="B207" s="230"/>
      <c r="C207" s="230"/>
      <c r="D207" s="230"/>
      <c r="E207" s="230"/>
      <c r="F207" s="230"/>
      <c r="G207" s="230"/>
      <c r="H207" s="230"/>
      <c r="I207" s="230"/>
      <c r="J207" s="230"/>
      <c r="K207" s="230"/>
      <c r="L207" s="230"/>
      <c r="M207" s="230"/>
      <c r="N207" s="230"/>
      <c r="O207" s="230"/>
    </row>
    <row r="208" spans="1:16" s="219" customFormat="1" ht="35.1" customHeight="1" x14ac:dyDescent="0.2">
      <c r="A208" s="235">
        <f>+A204+1</f>
        <v>98</v>
      </c>
      <c r="B208" s="72" t="s">
        <v>7</v>
      </c>
      <c r="C208" s="73" t="s">
        <v>335</v>
      </c>
      <c r="D208" s="72" t="s">
        <v>72</v>
      </c>
      <c r="E208" s="72" t="s">
        <v>97</v>
      </c>
      <c r="F208" s="216">
        <v>60000</v>
      </c>
      <c r="G208" s="216">
        <f>F208*2.87%</f>
        <v>1722</v>
      </c>
      <c r="H208" s="68">
        <f>+F208*3.04%</f>
        <v>1824</v>
      </c>
      <c r="I208" s="68"/>
      <c r="J208" s="69">
        <f>+G208+H208+I208</f>
        <v>3546</v>
      </c>
      <c r="K208" s="69">
        <f>+F208-J208</f>
        <v>56454</v>
      </c>
      <c r="L208" s="69">
        <f t="shared" ref="L208" si="86">+IF(K208*12&lt;=416220.01,0,IF(K208*12&lt;=624329.01,(((K208*12-416220.01)*0.15)/12),IF((K208*12&lt;=867123.01),(31216+0.2*(K208*12-624329.01))/12,((79776+0.25*(K208*12-867123.01))/12))))</f>
        <v>3486.6498333333329</v>
      </c>
      <c r="M208" s="68">
        <v>2790.29</v>
      </c>
      <c r="N208" s="215">
        <f>+M208+I208+H208+G208+L208</f>
        <v>9822.9398333333338</v>
      </c>
      <c r="O208" s="69">
        <f>+F208-N208</f>
        <v>50177.060166666663</v>
      </c>
    </row>
    <row r="209" spans="1:16" s="148" customFormat="1" ht="35.25" customHeight="1" x14ac:dyDescent="0.2">
      <c r="A209" s="223" t="s">
        <v>99</v>
      </c>
      <c r="B209" s="224"/>
      <c r="C209" s="224"/>
      <c r="D209" s="224"/>
      <c r="E209" s="239"/>
      <c r="F209" s="225">
        <f>SUM(F208:F208)</f>
        <v>60000</v>
      </c>
      <c r="G209" s="225">
        <f t="shared" ref="G209:O209" si="87">SUM(G208:G208)</f>
        <v>1722</v>
      </c>
      <c r="H209" s="225">
        <f t="shared" si="87"/>
        <v>1824</v>
      </c>
      <c r="I209" s="225">
        <f t="shared" si="87"/>
        <v>0</v>
      </c>
      <c r="J209" s="225">
        <f t="shared" si="87"/>
        <v>3546</v>
      </c>
      <c r="K209" s="225">
        <f>SUM(K208:K208)</f>
        <v>56454</v>
      </c>
      <c r="L209" s="225">
        <f t="shared" si="87"/>
        <v>3486.6498333333329</v>
      </c>
      <c r="M209" s="225">
        <f t="shared" si="87"/>
        <v>2790.29</v>
      </c>
      <c r="N209" s="225">
        <f t="shared" si="87"/>
        <v>9822.9398333333338</v>
      </c>
      <c r="O209" s="225">
        <f t="shared" si="87"/>
        <v>50177.060166666663</v>
      </c>
      <c r="P209" s="339"/>
    </row>
    <row r="210" spans="1:16" s="219" customFormat="1" ht="35.1" customHeight="1" thickBot="1" x14ac:dyDescent="0.25">
      <c r="A210" s="146"/>
      <c r="B210" s="146"/>
      <c r="C210" s="146"/>
      <c r="D210" s="146"/>
      <c r="E210" s="146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</row>
    <row r="211" spans="1:16" s="148" customFormat="1" ht="35.1" customHeight="1" thickBot="1" x14ac:dyDescent="0.25">
      <c r="A211" s="229" t="s">
        <v>145</v>
      </c>
      <c r="B211" s="230"/>
      <c r="C211" s="230"/>
      <c r="D211" s="230"/>
      <c r="E211" s="230"/>
      <c r="F211" s="230"/>
      <c r="G211" s="230"/>
      <c r="H211" s="230"/>
      <c r="I211" s="230"/>
      <c r="J211" s="230"/>
      <c r="K211" s="230"/>
      <c r="L211" s="230"/>
      <c r="M211" s="230"/>
      <c r="N211" s="230"/>
      <c r="O211" s="230"/>
    </row>
    <row r="212" spans="1:16" s="148" customFormat="1" ht="35.1" customHeight="1" x14ac:dyDescent="0.2">
      <c r="A212" s="73">
        <f>+A208+1</f>
        <v>99</v>
      </c>
      <c r="B212" s="72" t="s">
        <v>391</v>
      </c>
      <c r="C212" s="73" t="s">
        <v>334</v>
      </c>
      <c r="D212" s="72" t="s">
        <v>164</v>
      </c>
      <c r="E212" s="72" t="s">
        <v>190</v>
      </c>
      <c r="F212" s="216">
        <v>60000</v>
      </c>
      <c r="G212" s="216">
        <f>F212*2.87%</f>
        <v>1722</v>
      </c>
      <c r="H212" s="216">
        <f>+F212*3.04%</f>
        <v>1824</v>
      </c>
      <c r="I212" s="216"/>
      <c r="J212" s="69">
        <f>+G212+H212+I212</f>
        <v>3546</v>
      </c>
      <c r="K212" s="69">
        <f>+F212-J212</f>
        <v>56454</v>
      </c>
      <c r="L212" s="69">
        <f t="shared" ref="L212" si="88">+IF(K212*12&lt;=416220.01,0,IF(K212*12&lt;=624329.01,(((K212*12-416220.01)*0.15)/12),IF((K212*12&lt;=867123.01),(31216+0.2*(K212*12-624329.01))/12,((79776+0.25*(K212*12-867123.01))/12))))</f>
        <v>3486.6498333333329</v>
      </c>
      <c r="M212" s="234">
        <v>25</v>
      </c>
      <c r="N212" s="215">
        <f>+M212+I212+H212+G212+L212</f>
        <v>7057.6498333333329</v>
      </c>
      <c r="O212" s="215">
        <f>+F212-N212</f>
        <v>52942.350166666671</v>
      </c>
    </row>
    <row r="213" spans="1:16" s="148" customFormat="1" ht="35.1" customHeight="1" x14ac:dyDescent="0.2">
      <c r="A213" s="223" t="s">
        <v>99</v>
      </c>
      <c r="B213" s="224"/>
      <c r="C213" s="224"/>
      <c r="D213" s="224"/>
      <c r="E213" s="239"/>
      <c r="F213" s="225">
        <f t="shared" ref="F213:L213" si="89">SUM(F212:F212)</f>
        <v>60000</v>
      </c>
      <c r="G213" s="225">
        <f t="shared" si="89"/>
        <v>1722</v>
      </c>
      <c r="H213" s="225">
        <f t="shared" si="89"/>
        <v>1824</v>
      </c>
      <c r="I213" s="225">
        <f t="shared" si="89"/>
        <v>0</v>
      </c>
      <c r="J213" s="225">
        <f t="shared" si="89"/>
        <v>3546</v>
      </c>
      <c r="K213" s="225">
        <f t="shared" si="89"/>
        <v>56454</v>
      </c>
      <c r="L213" s="225">
        <f t="shared" si="89"/>
        <v>3486.6498333333329</v>
      </c>
      <c r="M213" s="225">
        <f>SUM(M212:M212)</f>
        <v>25</v>
      </c>
      <c r="N213" s="225">
        <f t="shared" ref="N213:O213" si="90">SUM(N212:N212)</f>
        <v>7057.6498333333329</v>
      </c>
      <c r="O213" s="225">
        <f t="shared" si="90"/>
        <v>52942.350166666671</v>
      </c>
      <c r="P213" s="339"/>
    </row>
    <row r="214" spans="1:16" s="219" customFormat="1" ht="35.1" customHeight="1" thickBot="1" x14ac:dyDescent="0.25">
      <c r="A214" s="203"/>
      <c r="B214" s="147"/>
      <c r="C214" s="203"/>
      <c r="D214" s="147"/>
      <c r="E214" s="147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</row>
    <row r="215" spans="1:16" s="252" customFormat="1" ht="35.1" customHeight="1" thickBot="1" x14ac:dyDescent="0.25">
      <c r="A215" s="229" t="s">
        <v>146</v>
      </c>
      <c r="B215" s="230"/>
      <c r="C215" s="230"/>
      <c r="D215" s="230"/>
      <c r="E215" s="230"/>
      <c r="F215" s="230"/>
      <c r="G215" s="230"/>
      <c r="H215" s="230"/>
      <c r="I215" s="230"/>
      <c r="J215" s="230"/>
      <c r="K215" s="230"/>
      <c r="L215" s="230"/>
      <c r="M215" s="230"/>
      <c r="N215" s="230"/>
      <c r="O215" s="230"/>
    </row>
    <row r="216" spans="1:16" s="252" customFormat="1" ht="35.1" customHeight="1" x14ac:dyDescent="0.2">
      <c r="A216" s="235">
        <f>+A212+1</f>
        <v>100</v>
      </c>
      <c r="B216" s="72" t="s">
        <v>159</v>
      </c>
      <c r="C216" s="73" t="s">
        <v>334</v>
      </c>
      <c r="D216" s="72" t="s">
        <v>6</v>
      </c>
      <c r="E216" s="72" t="s">
        <v>97</v>
      </c>
      <c r="F216" s="216">
        <v>80000</v>
      </c>
      <c r="G216" s="216">
        <f>F216*2.87%</f>
        <v>2296</v>
      </c>
      <c r="H216" s="68">
        <f>+F216*3.04%</f>
        <v>2432</v>
      </c>
      <c r="I216" s="68"/>
      <c r="J216" s="69">
        <f>+G216+H216+I216</f>
        <v>4728</v>
      </c>
      <c r="K216" s="69">
        <f>+F216-J216</f>
        <v>75272</v>
      </c>
      <c r="L216" s="69">
        <f t="shared" ref="L216:L217" si="91">+IF(K216*12&lt;=416220.01,0,IF(K216*12&lt;=624329.01,(((K216*12-416220.01)*0.15)/12),IF((K216*12&lt;=867123.01),(31216+0.2*(K216*12-624329.01))/12,((79776+0.25*(K216*12-867123.01))/12))))</f>
        <v>7400.9372916666662</v>
      </c>
      <c r="M216" s="84">
        <v>3784.76</v>
      </c>
      <c r="N216" s="215">
        <f>+M216+I216+H216+G216+L216</f>
        <v>15913.697291666667</v>
      </c>
      <c r="O216" s="84">
        <f>+F216-N216</f>
        <v>64086.302708333329</v>
      </c>
    </row>
    <row r="217" spans="1:16" s="148" customFormat="1" ht="35.1" customHeight="1" x14ac:dyDescent="0.2">
      <c r="A217" s="237">
        <f>+A216+1</f>
        <v>101</v>
      </c>
      <c r="B217" s="214" t="s">
        <v>250</v>
      </c>
      <c r="C217" s="213" t="s">
        <v>334</v>
      </c>
      <c r="D217" s="214" t="s">
        <v>164</v>
      </c>
      <c r="E217" s="214" t="s">
        <v>190</v>
      </c>
      <c r="F217" s="215">
        <v>60000</v>
      </c>
      <c r="G217" s="215">
        <f>F217*2.87%</f>
        <v>1722</v>
      </c>
      <c r="H217" s="69">
        <f>+F217*3.04%</f>
        <v>1824</v>
      </c>
      <c r="I217" s="69"/>
      <c r="J217" s="69">
        <f>+G217+H217+I217</f>
        <v>3546</v>
      </c>
      <c r="K217" s="69">
        <f t="shared" ref="K217" si="92">+F217-J217</f>
        <v>56454</v>
      </c>
      <c r="L217" s="69">
        <f t="shared" si="91"/>
        <v>3486.6498333333329</v>
      </c>
      <c r="M217" s="84">
        <v>225</v>
      </c>
      <c r="N217" s="215">
        <f>+M217+I217+H217+G217+L217</f>
        <v>7257.6498333333329</v>
      </c>
      <c r="O217" s="69">
        <f>+F217-N217</f>
        <v>52742.350166666671</v>
      </c>
    </row>
    <row r="218" spans="1:16" s="219" customFormat="1" ht="35.1" customHeight="1" x14ac:dyDescent="0.2">
      <c r="A218" s="223" t="s">
        <v>99</v>
      </c>
      <c r="B218" s="224"/>
      <c r="C218" s="224"/>
      <c r="D218" s="224"/>
      <c r="E218" s="239"/>
      <c r="F218" s="225">
        <f t="shared" ref="F218:O218" si="93">SUM(F216:F217)</f>
        <v>140000</v>
      </c>
      <c r="G218" s="225">
        <f t="shared" si="93"/>
        <v>4018</v>
      </c>
      <c r="H218" s="225">
        <f t="shared" si="93"/>
        <v>4256</v>
      </c>
      <c r="I218" s="225">
        <f t="shared" si="93"/>
        <v>0</v>
      </c>
      <c r="J218" s="225">
        <f t="shared" si="93"/>
        <v>8274</v>
      </c>
      <c r="K218" s="225">
        <f t="shared" si="93"/>
        <v>131726</v>
      </c>
      <c r="L218" s="225">
        <f t="shared" si="93"/>
        <v>10887.587124999998</v>
      </c>
      <c r="M218" s="225">
        <f t="shared" si="93"/>
        <v>4009.76</v>
      </c>
      <c r="N218" s="225">
        <f t="shared" si="93"/>
        <v>23171.347125</v>
      </c>
      <c r="O218" s="225">
        <f t="shared" si="93"/>
        <v>116828.652875</v>
      </c>
      <c r="P218" s="339"/>
    </row>
    <row r="219" spans="1:16" s="219" customFormat="1" ht="22.9" customHeight="1" thickBot="1" x14ac:dyDescent="0.25">
      <c r="A219" s="203"/>
      <c r="B219" s="147"/>
      <c r="C219" s="203"/>
      <c r="D219" s="147"/>
      <c r="E219" s="147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</row>
    <row r="220" spans="1:16" s="219" customFormat="1" ht="35.1" customHeight="1" thickBot="1" x14ac:dyDescent="0.25">
      <c r="A220" s="354" t="s">
        <v>251</v>
      </c>
      <c r="B220" s="355"/>
      <c r="C220" s="355"/>
      <c r="D220" s="355"/>
      <c r="E220" s="246"/>
      <c r="F220" s="246"/>
      <c r="G220" s="246"/>
      <c r="H220" s="246"/>
      <c r="I220" s="246"/>
      <c r="J220" s="246"/>
      <c r="K220" s="246"/>
      <c r="L220" s="246"/>
      <c r="M220" s="246"/>
      <c r="N220" s="246"/>
      <c r="O220" s="246"/>
    </row>
    <row r="221" spans="1:16" s="148" customFormat="1" ht="35.1" customHeight="1" thickBot="1" x14ac:dyDescent="0.25">
      <c r="A221" s="208" t="s">
        <v>252</v>
      </c>
      <c r="B221" s="209"/>
      <c r="C221" s="209"/>
      <c r="D221" s="209"/>
      <c r="E221" s="209"/>
      <c r="F221" s="209"/>
      <c r="G221" s="209"/>
      <c r="H221" s="209"/>
      <c r="I221" s="209"/>
      <c r="J221" s="209"/>
      <c r="K221" s="209"/>
      <c r="L221" s="209"/>
      <c r="M221" s="289"/>
      <c r="N221" s="209"/>
      <c r="O221" s="209"/>
    </row>
    <row r="222" spans="1:16" s="219" customFormat="1" ht="35.1" customHeight="1" x14ac:dyDescent="0.2">
      <c r="A222" s="235">
        <f>+A217+1</f>
        <v>102</v>
      </c>
      <c r="B222" s="72" t="s">
        <v>10</v>
      </c>
      <c r="C222" s="73" t="s">
        <v>334</v>
      </c>
      <c r="D222" s="88" t="s">
        <v>253</v>
      </c>
      <c r="E222" s="72" t="s">
        <v>97</v>
      </c>
      <c r="F222" s="68">
        <v>70000</v>
      </c>
      <c r="G222" s="68">
        <f>F222*2.87%</f>
        <v>2009</v>
      </c>
      <c r="H222" s="68">
        <f>+F222*3.04%</f>
        <v>2128</v>
      </c>
      <c r="I222" s="68"/>
      <c r="J222" s="69">
        <f>+G222+H222+I222</f>
        <v>4137</v>
      </c>
      <c r="K222" s="69">
        <f>+F222-J222</f>
        <v>65863</v>
      </c>
      <c r="L222" s="69">
        <f t="shared" ref="L222" si="94">+IF(K222*12&lt;=416220.01,0,IF(K222*12&lt;=624329.01,(((K222*12-416220.01)*0.15)/12),IF((K222*12&lt;=867123.01),(31216+0.2*(K222*12-624329.01))/12,((79776+0.25*(K222*12-867123.01))/12))))</f>
        <v>5368.4498333333331</v>
      </c>
      <c r="M222" s="217">
        <v>23317.040000000001</v>
      </c>
      <c r="N222" s="215">
        <f>+M222+I222+H222+G222+L222</f>
        <v>32822.489833333333</v>
      </c>
      <c r="O222" s="84">
        <f>+F222-N222</f>
        <v>37177.510166666667</v>
      </c>
    </row>
    <row r="223" spans="1:16" s="148" customFormat="1" ht="35.1" customHeight="1" x14ac:dyDescent="0.2">
      <c r="A223" s="223" t="s">
        <v>99</v>
      </c>
      <c r="B223" s="224"/>
      <c r="C223" s="224"/>
      <c r="D223" s="224"/>
      <c r="E223" s="239"/>
      <c r="F223" s="225">
        <f t="shared" ref="F223:L223" si="95">SUM(F222:F222)</f>
        <v>70000</v>
      </c>
      <c r="G223" s="225">
        <f t="shared" si="95"/>
        <v>2009</v>
      </c>
      <c r="H223" s="225">
        <f t="shared" si="95"/>
        <v>2128</v>
      </c>
      <c r="I223" s="225">
        <f t="shared" si="95"/>
        <v>0</v>
      </c>
      <c r="J223" s="225">
        <f t="shared" si="95"/>
        <v>4137</v>
      </c>
      <c r="K223" s="225">
        <f t="shared" si="95"/>
        <v>65863</v>
      </c>
      <c r="L223" s="225">
        <f t="shared" si="95"/>
        <v>5368.4498333333331</v>
      </c>
      <c r="M223" s="225">
        <f>SUM(M222:M222)</f>
        <v>23317.040000000001</v>
      </c>
      <c r="N223" s="225">
        <f>SUM(N222:N222)</f>
        <v>32822.489833333333</v>
      </c>
      <c r="O223" s="225">
        <f>SUM(O222:O222)</f>
        <v>37177.510166666667</v>
      </c>
      <c r="P223" s="339"/>
    </row>
    <row r="224" spans="1:16" s="148" customFormat="1" ht="35.1" customHeight="1" thickBot="1" x14ac:dyDescent="0.25">
      <c r="A224" s="146"/>
      <c r="B224" s="146"/>
      <c r="C224" s="146"/>
      <c r="D224" s="146"/>
      <c r="E224" s="146"/>
      <c r="F224" s="218"/>
      <c r="G224" s="218"/>
      <c r="H224" s="218"/>
      <c r="I224" s="218"/>
      <c r="J224" s="218"/>
      <c r="K224" s="218"/>
      <c r="L224" s="218"/>
      <c r="M224" s="218"/>
      <c r="N224" s="218"/>
      <c r="O224" s="218"/>
    </row>
    <row r="225" spans="1:16" s="148" customFormat="1" ht="35.1" customHeight="1" thickBot="1" x14ac:dyDescent="0.25">
      <c r="A225" s="208" t="s">
        <v>255</v>
      </c>
      <c r="B225" s="209"/>
      <c r="C225" s="209"/>
      <c r="D225" s="209"/>
      <c r="E225" s="209"/>
      <c r="F225" s="209"/>
      <c r="G225" s="209"/>
      <c r="H225" s="209"/>
      <c r="I225" s="209"/>
      <c r="J225" s="209"/>
      <c r="K225" s="209"/>
      <c r="L225" s="209"/>
      <c r="M225" s="209"/>
      <c r="N225" s="209"/>
      <c r="O225" s="209"/>
    </row>
    <row r="226" spans="1:16" s="148" customFormat="1" ht="35.1" customHeight="1" x14ac:dyDescent="0.2">
      <c r="A226" s="235">
        <f>+A222+1</f>
        <v>103</v>
      </c>
      <c r="B226" s="72" t="s">
        <v>254</v>
      </c>
      <c r="C226" s="73" t="s">
        <v>334</v>
      </c>
      <c r="D226" s="88" t="s">
        <v>73</v>
      </c>
      <c r="E226" s="72" t="s">
        <v>97</v>
      </c>
      <c r="F226" s="216">
        <v>95000</v>
      </c>
      <c r="G226" s="216">
        <f>F226*2.87%</f>
        <v>2726.5</v>
      </c>
      <c r="H226" s="216">
        <f>+F226*3.04%</f>
        <v>2888</v>
      </c>
      <c r="I226" s="68">
        <v>1919.78</v>
      </c>
      <c r="J226" s="69">
        <f t="shared" ref="J226:J284" si="96">+G226+H226+I226</f>
        <v>7534.28</v>
      </c>
      <c r="K226" s="69">
        <f>+F226-J226</f>
        <v>87465.72</v>
      </c>
      <c r="L226" s="69">
        <f t="shared" ref="L226" si="97">+IF(K226*12&lt;=416220.01,0,IF(K226*12&lt;=624329.01,(((K226*12-416220.01)*0.15)/12),IF((K226*12&lt;=867123.01),(31216+0.2*(K226*12-624329.01))/12,((79776+0.25*(K226*12-867123.01))/12))))</f>
        <v>10449.367291666669</v>
      </c>
      <c r="M226" s="84">
        <v>225</v>
      </c>
      <c r="N226" s="215">
        <f>+M226+I226+H226+G226+L226</f>
        <v>18208.647291666668</v>
      </c>
      <c r="O226" s="84">
        <f>+F226-N226</f>
        <v>76791.352708333332</v>
      </c>
    </row>
    <row r="227" spans="1:16" s="148" customFormat="1" ht="35.1" customHeight="1" x14ac:dyDescent="0.2">
      <c r="A227" s="223" t="s">
        <v>99</v>
      </c>
      <c r="B227" s="224"/>
      <c r="C227" s="224"/>
      <c r="D227" s="224"/>
      <c r="E227" s="239"/>
      <c r="F227" s="225">
        <f t="shared" ref="F227:L227" si="98">SUM(F226:F226)</f>
        <v>95000</v>
      </c>
      <c r="G227" s="225">
        <f t="shared" si="98"/>
        <v>2726.5</v>
      </c>
      <c r="H227" s="225">
        <f t="shared" si="98"/>
        <v>2888</v>
      </c>
      <c r="I227" s="225">
        <f t="shared" si="98"/>
        <v>1919.78</v>
      </c>
      <c r="J227" s="225">
        <f t="shared" si="98"/>
        <v>7534.28</v>
      </c>
      <c r="K227" s="225">
        <f t="shared" si="98"/>
        <v>87465.72</v>
      </c>
      <c r="L227" s="225">
        <f t="shared" si="98"/>
        <v>10449.367291666669</v>
      </c>
      <c r="M227" s="225">
        <f>SUM(M226:M226)</f>
        <v>225</v>
      </c>
      <c r="N227" s="225">
        <f t="shared" ref="N227:O227" si="99">SUM(N226:N226)</f>
        <v>18208.647291666668</v>
      </c>
      <c r="O227" s="225">
        <f t="shared" si="99"/>
        <v>76791.352708333332</v>
      </c>
      <c r="P227" s="339"/>
    </row>
    <row r="228" spans="1:16" s="148" customFormat="1" ht="35.1" customHeight="1" thickBot="1" x14ac:dyDescent="0.25">
      <c r="A228" s="146"/>
      <c r="B228" s="146"/>
      <c r="C228" s="146"/>
      <c r="D228" s="146"/>
      <c r="E228" s="14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</row>
    <row r="229" spans="1:16" s="219" customFormat="1" ht="35.1" customHeight="1" thickBot="1" x14ac:dyDescent="0.25">
      <c r="A229" s="208" t="s">
        <v>191</v>
      </c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  <c r="M229" s="209"/>
      <c r="N229" s="209"/>
      <c r="O229" s="209"/>
    </row>
    <row r="230" spans="1:16" s="219" customFormat="1" ht="35.1" customHeight="1" x14ac:dyDescent="0.2">
      <c r="A230" s="235">
        <f>+A226+1</f>
        <v>104</v>
      </c>
      <c r="B230" s="72" t="s">
        <v>60</v>
      </c>
      <c r="C230" s="73" t="s">
        <v>334</v>
      </c>
      <c r="D230" s="72" t="s">
        <v>11</v>
      </c>
      <c r="E230" s="72" t="s">
        <v>97</v>
      </c>
      <c r="F230" s="216">
        <v>65000</v>
      </c>
      <c r="G230" s="216">
        <f>F230*2.87%</f>
        <v>1865.5</v>
      </c>
      <c r="H230" s="68">
        <f>+F230*3.04%</f>
        <v>1976</v>
      </c>
      <c r="I230" s="68"/>
      <c r="J230" s="69">
        <f t="shared" si="96"/>
        <v>3841.5</v>
      </c>
      <c r="K230" s="69">
        <f t="shared" ref="K230:K231" si="100">+F230-J230</f>
        <v>61158.5</v>
      </c>
      <c r="L230" s="69">
        <f t="shared" ref="L230:L231" si="101">+IF(K230*12&lt;=416220.01,0,IF(K230*12&lt;=624329.01,(((K230*12-416220.01)*0.15)/12),IF((K230*12&lt;=867123.01),(31216+0.2*(K230*12-624329.01))/12,((79776+0.25*(K230*12-867123.01))/12))))</f>
        <v>4427.5498333333335</v>
      </c>
      <c r="M230" s="84">
        <v>225</v>
      </c>
      <c r="N230" s="215">
        <f>+M230+I230+H230+G230+L230</f>
        <v>8494.0498333333344</v>
      </c>
      <c r="O230" s="84">
        <f>+F230-N230</f>
        <v>56505.950166666662</v>
      </c>
    </row>
    <row r="231" spans="1:16" s="148" customFormat="1" ht="35.1" customHeight="1" x14ac:dyDescent="0.2">
      <c r="A231" s="235">
        <f>+A230+1</f>
        <v>105</v>
      </c>
      <c r="B231" s="72" t="s">
        <v>356</v>
      </c>
      <c r="C231" s="73" t="s">
        <v>334</v>
      </c>
      <c r="D231" s="72" t="s">
        <v>11</v>
      </c>
      <c r="E231" s="72" t="s">
        <v>97</v>
      </c>
      <c r="F231" s="216">
        <v>65000</v>
      </c>
      <c r="G231" s="216">
        <f>F231*2.87%</f>
        <v>1865.5</v>
      </c>
      <c r="H231" s="68">
        <f>+F231*3.04%</f>
        <v>1976</v>
      </c>
      <c r="I231" s="68">
        <v>1919.78</v>
      </c>
      <c r="J231" s="69">
        <f t="shared" si="96"/>
        <v>5761.28</v>
      </c>
      <c r="K231" s="69">
        <f t="shared" si="100"/>
        <v>59238.720000000001</v>
      </c>
      <c r="L231" s="69">
        <f t="shared" si="101"/>
        <v>4043.5938333333338</v>
      </c>
      <c r="M231" s="84">
        <v>225</v>
      </c>
      <c r="N231" s="215">
        <f>+M231+I231+H231+G231+L231</f>
        <v>10029.873833333333</v>
      </c>
      <c r="O231" s="84">
        <f>+F231-N231</f>
        <v>54970.126166666669</v>
      </c>
    </row>
    <row r="232" spans="1:16" s="219" customFormat="1" ht="35.1" customHeight="1" x14ac:dyDescent="0.2">
      <c r="A232" s="223" t="s">
        <v>99</v>
      </c>
      <c r="B232" s="224"/>
      <c r="C232" s="224"/>
      <c r="D232" s="224"/>
      <c r="E232" s="239"/>
      <c r="F232" s="225">
        <f t="shared" ref="F232:L232" si="102">SUM(F230:F231)</f>
        <v>130000</v>
      </c>
      <c r="G232" s="225">
        <f t="shared" si="102"/>
        <v>3731</v>
      </c>
      <c r="H232" s="225">
        <f t="shared" si="102"/>
        <v>3952</v>
      </c>
      <c r="I232" s="225">
        <f t="shared" si="102"/>
        <v>1919.78</v>
      </c>
      <c r="J232" s="225">
        <f t="shared" si="102"/>
        <v>9602.7799999999988</v>
      </c>
      <c r="K232" s="225">
        <f t="shared" si="102"/>
        <v>120397.22</v>
      </c>
      <c r="L232" s="225">
        <f t="shared" si="102"/>
        <v>8471.1436666666668</v>
      </c>
      <c r="M232" s="225">
        <f>SUM(M230:M231)</f>
        <v>450</v>
      </c>
      <c r="N232" s="225">
        <f>SUM(N230:N231)</f>
        <v>18523.923666666669</v>
      </c>
      <c r="O232" s="225">
        <f>SUM(O230:O231)</f>
        <v>111476.07633333333</v>
      </c>
      <c r="P232" s="339"/>
    </row>
    <row r="233" spans="1:16" s="148" customFormat="1" ht="35.1" customHeight="1" thickBot="1" x14ac:dyDescent="0.25">
      <c r="A233" s="146"/>
      <c r="B233" s="146"/>
      <c r="C233" s="146"/>
      <c r="D233" s="146"/>
      <c r="E233" s="14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</row>
    <row r="234" spans="1:16" s="219" customFormat="1" ht="35.1" customHeight="1" thickBot="1" x14ac:dyDescent="0.25">
      <c r="A234" s="229" t="s">
        <v>256</v>
      </c>
      <c r="B234" s="230"/>
      <c r="C234" s="230"/>
      <c r="D234" s="230"/>
      <c r="E234" s="230"/>
      <c r="F234" s="230"/>
      <c r="G234" s="230"/>
      <c r="H234" s="230"/>
      <c r="I234" s="230"/>
      <c r="J234" s="230"/>
      <c r="K234" s="230"/>
      <c r="L234" s="230"/>
      <c r="M234" s="230"/>
      <c r="N234" s="230"/>
      <c r="O234" s="230"/>
    </row>
    <row r="235" spans="1:16" s="252" customFormat="1" ht="35.1" customHeight="1" x14ac:dyDescent="0.2">
      <c r="A235" s="235">
        <f>+A231+1</f>
        <v>106</v>
      </c>
      <c r="B235" s="72" t="s">
        <v>15</v>
      </c>
      <c r="C235" s="73" t="s">
        <v>335</v>
      </c>
      <c r="D235" s="72" t="s">
        <v>160</v>
      </c>
      <c r="E235" s="72" t="s">
        <v>97</v>
      </c>
      <c r="F235" s="216">
        <v>95000</v>
      </c>
      <c r="G235" s="215">
        <f>F235*2.87%</f>
        <v>2726.5</v>
      </c>
      <c r="H235" s="69">
        <f>+F235*3.04%</f>
        <v>2888</v>
      </c>
      <c r="I235" s="69"/>
      <c r="J235" s="69">
        <f t="shared" si="96"/>
        <v>5614.5</v>
      </c>
      <c r="K235" s="69">
        <f>+F235-J235</f>
        <v>89385.5</v>
      </c>
      <c r="L235" s="69">
        <f t="shared" ref="L235" si="103">+IF(K235*12&lt;=416220.01,0,IF(K235*12&lt;=624329.01,(((K235*12-416220.01)*0.15)/12),IF((K235*12&lt;=867123.01),(31216+0.2*(K235*12-624329.01))/12,((79776+0.25*(K235*12-867123.01))/12))))</f>
        <v>10929.312291666667</v>
      </c>
      <c r="M235" s="234">
        <v>225</v>
      </c>
      <c r="N235" s="215">
        <f>+M235+I235+H235+G235+L235</f>
        <v>16768.812291666669</v>
      </c>
      <c r="O235" s="84">
        <f>+F235-N235</f>
        <v>78231.187708333338</v>
      </c>
    </row>
    <row r="236" spans="1:16" s="219" customFormat="1" ht="35.1" customHeight="1" x14ac:dyDescent="0.2">
      <c r="A236" s="235">
        <f>+A235+1</f>
        <v>107</v>
      </c>
      <c r="B236" s="72" t="s">
        <v>24</v>
      </c>
      <c r="C236" s="73" t="s">
        <v>335</v>
      </c>
      <c r="D236" s="72" t="s">
        <v>72</v>
      </c>
      <c r="E236" s="72" t="s">
        <v>190</v>
      </c>
      <c r="F236" s="216">
        <v>50000</v>
      </c>
      <c r="G236" s="68">
        <f>F236*2.87%</f>
        <v>1435</v>
      </c>
      <c r="H236" s="69">
        <f>+F236*3.04%</f>
        <v>1520</v>
      </c>
      <c r="I236" s="215">
        <v>0</v>
      </c>
      <c r="J236" s="69">
        <f t="shared" si="96"/>
        <v>2955</v>
      </c>
      <c r="K236" s="69">
        <f>+F236-J236</f>
        <v>47045</v>
      </c>
      <c r="L236" s="69">
        <v>0</v>
      </c>
      <c r="M236" s="234">
        <v>345</v>
      </c>
      <c r="N236" s="215">
        <f>+M236+I236+H236+G236+L236</f>
        <v>3300</v>
      </c>
      <c r="O236" s="84">
        <f>+F236-N236</f>
        <v>46700</v>
      </c>
    </row>
    <row r="237" spans="1:16" s="148" customFormat="1" ht="35.1" customHeight="1" thickBot="1" x14ac:dyDescent="0.25">
      <c r="A237" s="223" t="s">
        <v>99</v>
      </c>
      <c r="B237" s="224"/>
      <c r="C237" s="224"/>
      <c r="D237" s="224"/>
      <c r="E237" s="239"/>
      <c r="F237" s="225">
        <f>SUM(F235:F236)</f>
        <v>145000</v>
      </c>
      <c r="G237" s="225">
        <f t="shared" ref="G237:O237" si="104">SUM(G235:G236)</f>
        <v>4161.5</v>
      </c>
      <c r="H237" s="225">
        <f t="shared" si="104"/>
        <v>4408</v>
      </c>
      <c r="I237" s="225">
        <f t="shared" si="104"/>
        <v>0</v>
      </c>
      <c r="J237" s="225">
        <f t="shared" si="104"/>
        <v>8569.5</v>
      </c>
      <c r="K237" s="225">
        <f>SUM(K235:K236)</f>
        <v>136430.5</v>
      </c>
      <c r="L237" s="225">
        <f t="shared" si="104"/>
        <v>10929.312291666667</v>
      </c>
      <c r="M237" s="225">
        <f t="shared" si="104"/>
        <v>570</v>
      </c>
      <c r="N237" s="225">
        <f t="shared" si="104"/>
        <v>20068.812291666669</v>
      </c>
      <c r="O237" s="225">
        <f t="shared" si="104"/>
        <v>124931.18770833334</v>
      </c>
      <c r="P237" s="339"/>
    </row>
    <row r="238" spans="1:16" s="148" customFormat="1" ht="35.1" customHeight="1" thickBot="1" x14ac:dyDescent="0.25">
      <c r="A238" s="229" t="s">
        <v>257</v>
      </c>
      <c r="B238" s="230"/>
      <c r="C238" s="230"/>
      <c r="D238" s="230"/>
      <c r="E238" s="230"/>
      <c r="F238" s="230"/>
      <c r="G238" s="230"/>
      <c r="H238" s="230"/>
      <c r="I238" s="230"/>
      <c r="J238" s="230"/>
      <c r="K238" s="230"/>
      <c r="L238" s="230"/>
      <c r="M238" s="230"/>
      <c r="N238" s="230"/>
      <c r="O238" s="230"/>
    </row>
    <row r="239" spans="1:16" s="219" customFormat="1" ht="44.25" customHeight="1" x14ac:dyDescent="0.2">
      <c r="A239" s="237">
        <f>+A236+1</f>
        <v>108</v>
      </c>
      <c r="B239" s="72" t="s">
        <v>317</v>
      </c>
      <c r="C239" s="73" t="s">
        <v>334</v>
      </c>
      <c r="D239" s="72" t="s">
        <v>258</v>
      </c>
      <c r="E239" s="72" t="s">
        <v>190</v>
      </c>
      <c r="F239" s="216">
        <v>55000</v>
      </c>
      <c r="G239" s="216">
        <f t="shared" ref="G239:G244" si="105">F239*2.87%</f>
        <v>1578.5</v>
      </c>
      <c r="H239" s="216">
        <f t="shared" ref="H239:H244" si="106">+F239*3.04%</f>
        <v>1672</v>
      </c>
      <c r="I239" s="216"/>
      <c r="J239" s="215">
        <f t="shared" si="96"/>
        <v>3250.5</v>
      </c>
      <c r="K239" s="215">
        <f>+F239-J239</f>
        <v>51749.5</v>
      </c>
      <c r="L239" s="215">
        <f t="shared" ref="L239:L269" si="107">+IF(K239*12&lt;=416220.01,0,IF(K239*12&lt;=624329.01,(((K239*12-416220.01)*0.15)/12),IF((K239*12&lt;=867123.01),(31216+0.2*(K239*12-624329.01))/12,((79776+0.25*(K239*12-867123.01))/12))))</f>
        <v>2559.6748749999997</v>
      </c>
      <c r="M239" s="221">
        <v>9954.68</v>
      </c>
      <c r="N239" s="215">
        <f t="shared" ref="N239:N269" si="108">+M239+I239+H239+G239+L239</f>
        <v>15764.854875000001</v>
      </c>
      <c r="O239" s="84">
        <f t="shared" ref="O239:O269" si="109">+F239-N239</f>
        <v>39235.145124999995</v>
      </c>
    </row>
    <row r="240" spans="1:16" s="219" customFormat="1" ht="35.1" customHeight="1" x14ac:dyDescent="0.2">
      <c r="A240" s="237">
        <f t="shared" ref="A240:A269" si="110">+A239+1</f>
        <v>109</v>
      </c>
      <c r="B240" s="72" t="s">
        <v>425</v>
      </c>
      <c r="C240" s="73" t="s">
        <v>334</v>
      </c>
      <c r="D240" s="72" t="s">
        <v>258</v>
      </c>
      <c r="E240" s="72" t="s">
        <v>190</v>
      </c>
      <c r="F240" s="216">
        <v>50000</v>
      </c>
      <c r="G240" s="216">
        <f>F240*2.87%</f>
        <v>1435</v>
      </c>
      <c r="H240" s="216">
        <f>+F240*3.04%</f>
        <v>1520</v>
      </c>
      <c r="I240" s="216">
        <v>0</v>
      </c>
      <c r="J240" s="215">
        <f>+G240+H240+I240</f>
        <v>2955</v>
      </c>
      <c r="K240" s="215">
        <f>+F240-J240</f>
        <v>47045</v>
      </c>
      <c r="L240" s="215">
        <f t="shared" si="107"/>
        <v>1853.9998749999997</v>
      </c>
      <c r="M240" s="221">
        <v>265</v>
      </c>
      <c r="N240" s="215">
        <f t="shared" si="108"/>
        <v>5073.9998749999995</v>
      </c>
      <c r="O240" s="84">
        <f t="shared" si="109"/>
        <v>44926.000124999999</v>
      </c>
    </row>
    <row r="241" spans="1:15" s="148" customFormat="1" ht="35.1" customHeight="1" x14ac:dyDescent="0.2">
      <c r="A241" s="237">
        <f t="shared" si="110"/>
        <v>110</v>
      </c>
      <c r="B241" s="72" t="s">
        <v>502</v>
      </c>
      <c r="C241" s="73" t="s">
        <v>335</v>
      </c>
      <c r="D241" s="72" t="s">
        <v>258</v>
      </c>
      <c r="E241" s="72" t="s">
        <v>190</v>
      </c>
      <c r="F241" s="216">
        <v>50000</v>
      </c>
      <c r="G241" s="216">
        <f t="shared" ref="G241" si="111">F241*2.87%</f>
        <v>1435</v>
      </c>
      <c r="H241" s="216">
        <f t="shared" ref="H241" si="112">+F241*3.04%</f>
        <v>1520</v>
      </c>
      <c r="I241" s="216"/>
      <c r="J241" s="215">
        <f t="shared" ref="J241" si="113">+G241+H241+I241</f>
        <v>2955</v>
      </c>
      <c r="K241" s="215">
        <f t="shared" ref="K241:K262" si="114">+F241-J241</f>
        <v>47045</v>
      </c>
      <c r="L241" s="215">
        <f t="shared" si="107"/>
        <v>1853.9998749999997</v>
      </c>
      <c r="M241" s="221">
        <v>225</v>
      </c>
      <c r="N241" s="215">
        <f t="shared" si="108"/>
        <v>5033.9998749999995</v>
      </c>
      <c r="O241" s="84">
        <f t="shared" si="109"/>
        <v>44966.000124999999</v>
      </c>
    </row>
    <row r="242" spans="1:15" s="218" customFormat="1" ht="35.1" customHeight="1" x14ac:dyDescent="0.2">
      <c r="A242" s="237">
        <f t="shared" si="110"/>
        <v>111</v>
      </c>
      <c r="B242" s="72" t="s">
        <v>619</v>
      </c>
      <c r="C242" s="299" t="s">
        <v>334</v>
      </c>
      <c r="D242" s="72" t="s">
        <v>258</v>
      </c>
      <c r="E242" s="72" t="s">
        <v>190</v>
      </c>
      <c r="F242" s="216">
        <v>48000</v>
      </c>
      <c r="G242" s="216">
        <f>F242*2.87%</f>
        <v>1377.6</v>
      </c>
      <c r="H242" s="216">
        <f>+F242*3.04%</f>
        <v>1459.2</v>
      </c>
      <c r="I242" s="216"/>
      <c r="J242" s="215">
        <f>+G242+H242+I242</f>
        <v>2836.8</v>
      </c>
      <c r="K242" s="215">
        <f>+F242-J242</f>
        <v>45163.199999999997</v>
      </c>
      <c r="L242" s="215">
        <f t="shared" si="107"/>
        <v>1571.7298749999989</v>
      </c>
      <c r="M242" s="221">
        <v>3290.29</v>
      </c>
      <c r="N242" s="215">
        <f t="shared" si="108"/>
        <v>7698.8198749999992</v>
      </c>
      <c r="O242" s="84">
        <f t="shared" si="109"/>
        <v>40301.180124999999</v>
      </c>
    </row>
    <row r="243" spans="1:15" s="148" customFormat="1" ht="35.1" customHeight="1" x14ac:dyDescent="0.2">
      <c r="A243" s="237">
        <f t="shared" si="110"/>
        <v>112</v>
      </c>
      <c r="B243" s="72" t="s">
        <v>120</v>
      </c>
      <c r="C243" s="73" t="s">
        <v>334</v>
      </c>
      <c r="D243" s="72" t="s">
        <v>258</v>
      </c>
      <c r="E243" s="72" t="s">
        <v>190</v>
      </c>
      <c r="F243" s="216">
        <v>55000</v>
      </c>
      <c r="G243" s="216">
        <f t="shared" si="105"/>
        <v>1578.5</v>
      </c>
      <c r="H243" s="216">
        <f t="shared" si="106"/>
        <v>1672</v>
      </c>
      <c r="I243" s="216"/>
      <c r="J243" s="215">
        <f>+G243+H243+I243</f>
        <v>3250.5</v>
      </c>
      <c r="K243" s="215">
        <f t="shared" si="114"/>
        <v>51749.5</v>
      </c>
      <c r="L243" s="215">
        <v>2559.67</v>
      </c>
      <c r="M243" s="221">
        <v>385</v>
      </c>
      <c r="N243" s="215">
        <f t="shared" si="108"/>
        <v>6195.17</v>
      </c>
      <c r="O243" s="84">
        <f t="shared" si="109"/>
        <v>48804.83</v>
      </c>
    </row>
    <row r="244" spans="1:15" s="148" customFormat="1" ht="35.1" customHeight="1" x14ac:dyDescent="0.2">
      <c r="A244" s="237">
        <f t="shared" si="110"/>
        <v>113</v>
      </c>
      <c r="B244" s="72" t="s">
        <v>18</v>
      </c>
      <c r="C244" s="73" t="s">
        <v>335</v>
      </c>
      <c r="D244" s="72" t="s">
        <v>75</v>
      </c>
      <c r="E244" s="72" t="s">
        <v>97</v>
      </c>
      <c r="F244" s="216">
        <v>32000</v>
      </c>
      <c r="G244" s="216">
        <f t="shared" si="105"/>
        <v>918.4</v>
      </c>
      <c r="H244" s="216">
        <f t="shared" si="106"/>
        <v>972.8</v>
      </c>
      <c r="I244" s="216"/>
      <c r="J244" s="215">
        <f t="shared" si="96"/>
        <v>1891.1999999999998</v>
      </c>
      <c r="K244" s="215">
        <f t="shared" si="114"/>
        <v>30108.799999999999</v>
      </c>
      <c r="L244" s="215">
        <f t="shared" si="107"/>
        <v>0</v>
      </c>
      <c r="M244" s="221">
        <v>225</v>
      </c>
      <c r="N244" s="215">
        <f t="shared" si="108"/>
        <v>2116.1999999999998</v>
      </c>
      <c r="O244" s="84">
        <f t="shared" si="109"/>
        <v>29883.8</v>
      </c>
    </row>
    <row r="245" spans="1:15" s="219" customFormat="1" ht="35.1" customHeight="1" x14ac:dyDescent="0.2">
      <c r="A245" s="237">
        <f t="shared" si="110"/>
        <v>114</v>
      </c>
      <c r="B245" s="72" t="s">
        <v>161</v>
      </c>
      <c r="C245" s="73" t="s">
        <v>335</v>
      </c>
      <c r="D245" s="72" t="s">
        <v>75</v>
      </c>
      <c r="E245" s="72" t="s">
        <v>97</v>
      </c>
      <c r="F245" s="216">
        <v>32000</v>
      </c>
      <c r="G245" s="216">
        <f t="shared" ref="G245:G255" si="115">F245*2.87%</f>
        <v>918.4</v>
      </c>
      <c r="H245" s="216">
        <f t="shared" ref="H245:H255" si="116">+F245*3.04%</f>
        <v>972.8</v>
      </c>
      <c r="I245" s="216"/>
      <c r="J245" s="215">
        <f t="shared" si="96"/>
        <v>1891.1999999999998</v>
      </c>
      <c r="K245" s="215">
        <f t="shared" si="114"/>
        <v>30108.799999999999</v>
      </c>
      <c r="L245" s="215">
        <f t="shared" si="107"/>
        <v>0</v>
      </c>
      <c r="M245" s="221">
        <v>2495.6</v>
      </c>
      <c r="N245" s="215">
        <f t="shared" si="108"/>
        <v>4386.7999999999993</v>
      </c>
      <c r="O245" s="84">
        <f t="shared" si="109"/>
        <v>27613.200000000001</v>
      </c>
    </row>
    <row r="246" spans="1:15" s="148" customFormat="1" ht="35.1" customHeight="1" x14ac:dyDescent="0.2">
      <c r="A246" s="237">
        <f t="shared" si="110"/>
        <v>115</v>
      </c>
      <c r="B246" s="72" t="s">
        <v>20</v>
      </c>
      <c r="C246" s="73" t="s">
        <v>335</v>
      </c>
      <c r="D246" s="72" t="s">
        <v>22</v>
      </c>
      <c r="E246" s="72" t="s">
        <v>190</v>
      </c>
      <c r="F246" s="216">
        <v>32000</v>
      </c>
      <c r="G246" s="216">
        <f t="shared" si="115"/>
        <v>918.4</v>
      </c>
      <c r="H246" s="216">
        <f t="shared" si="116"/>
        <v>972.8</v>
      </c>
      <c r="I246" s="216">
        <f>1919.78*2</f>
        <v>3839.56</v>
      </c>
      <c r="J246" s="215">
        <f t="shared" si="96"/>
        <v>5730.76</v>
      </c>
      <c r="K246" s="215">
        <f t="shared" si="114"/>
        <v>26269.239999999998</v>
      </c>
      <c r="L246" s="215">
        <f t="shared" si="107"/>
        <v>0</v>
      </c>
      <c r="M246" s="221">
        <v>265</v>
      </c>
      <c r="N246" s="215">
        <f t="shared" si="108"/>
        <v>5995.7599999999993</v>
      </c>
      <c r="O246" s="84">
        <f t="shared" si="109"/>
        <v>26004.240000000002</v>
      </c>
    </row>
    <row r="247" spans="1:15" s="219" customFormat="1" ht="35.1" customHeight="1" x14ac:dyDescent="0.2">
      <c r="A247" s="237">
        <f t="shared" si="110"/>
        <v>116</v>
      </c>
      <c r="B247" s="72" t="s">
        <v>259</v>
      </c>
      <c r="C247" s="73" t="s">
        <v>335</v>
      </c>
      <c r="D247" s="72" t="s">
        <v>22</v>
      </c>
      <c r="E247" s="72" t="s">
        <v>97</v>
      </c>
      <c r="F247" s="216">
        <v>32000</v>
      </c>
      <c r="G247" s="216">
        <f t="shared" si="115"/>
        <v>918.4</v>
      </c>
      <c r="H247" s="216">
        <f t="shared" si="116"/>
        <v>972.8</v>
      </c>
      <c r="I247" s="216"/>
      <c r="J247" s="215">
        <f t="shared" si="96"/>
        <v>1891.1999999999998</v>
      </c>
      <c r="K247" s="215">
        <f t="shared" si="114"/>
        <v>30108.799999999999</v>
      </c>
      <c r="L247" s="215">
        <f t="shared" si="107"/>
        <v>0</v>
      </c>
      <c r="M247" s="221">
        <v>6052.11</v>
      </c>
      <c r="N247" s="215">
        <f t="shared" si="108"/>
        <v>7943.3099999999995</v>
      </c>
      <c r="O247" s="84">
        <f t="shared" si="109"/>
        <v>24056.690000000002</v>
      </c>
    </row>
    <row r="248" spans="1:15" s="252" customFormat="1" ht="35.1" customHeight="1" x14ac:dyDescent="0.2">
      <c r="A248" s="237">
        <f t="shared" si="110"/>
        <v>117</v>
      </c>
      <c r="B248" s="72" t="s">
        <v>21</v>
      </c>
      <c r="C248" s="73" t="s">
        <v>335</v>
      </c>
      <c r="D248" s="72" t="s">
        <v>22</v>
      </c>
      <c r="E248" s="72" t="s">
        <v>97</v>
      </c>
      <c r="F248" s="216">
        <v>32000</v>
      </c>
      <c r="G248" s="216">
        <f t="shared" si="115"/>
        <v>918.4</v>
      </c>
      <c r="H248" s="216">
        <f t="shared" si="116"/>
        <v>972.8</v>
      </c>
      <c r="I248" s="216">
        <v>0</v>
      </c>
      <c r="J248" s="215">
        <f t="shared" si="96"/>
        <v>1891.1999999999998</v>
      </c>
      <c r="K248" s="215">
        <f t="shared" si="114"/>
        <v>30108.799999999999</v>
      </c>
      <c r="L248" s="215">
        <f t="shared" si="107"/>
        <v>0</v>
      </c>
      <c r="M248" s="221">
        <v>5976.53</v>
      </c>
      <c r="N248" s="215">
        <f t="shared" si="108"/>
        <v>7867.73</v>
      </c>
      <c r="O248" s="84">
        <f t="shared" si="109"/>
        <v>24132.27</v>
      </c>
    </row>
    <row r="249" spans="1:15" s="148" customFormat="1" ht="35.1" customHeight="1" x14ac:dyDescent="0.2">
      <c r="A249" s="237">
        <f t="shared" si="110"/>
        <v>118</v>
      </c>
      <c r="B249" s="72" t="s">
        <v>264</v>
      </c>
      <c r="C249" s="73" t="s">
        <v>335</v>
      </c>
      <c r="D249" s="72" t="s">
        <v>22</v>
      </c>
      <c r="E249" s="72" t="s">
        <v>190</v>
      </c>
      <c r="F249" s="216">
        <v>32000</v>
      </c>
      <c r="G249" s="216">
        <f>F249*2.87%</f>
        <v>918.4</v>
      </c>
      <c r="H249" s="216">
        <f>+F249*3.04%</f>
        <v>972.8</v>
      </c>
      <c r="I249" s="216"/>
      <c r="J249" s="215">
        <f>+G249+H249+I249</f>
        <v>1891.1999999999998</v>
      </c>
      <c r="K249" s="215">
        <f t="shared" si="114"/>
        <v>30108.799999999999</v>
      </c>
      <c r="L249" s="215">
        <f t="shared" si="107"/>
        <v>0</v>
      </c>
      <c r="M249" s="221">
        <v>6945.92</v>
      </c>
      <c r="N249" s="215">
        <f t="shared" si="108"/>
        <v>8837.1200000000008</v>
      </c>
      <c r="O249" s="84">
        <f t="shared" si="109"/>
        <v>23162.879999999997</v>
      </c>
    </row>
    <row r="250" spans="1:15" s="148" customFormat="1" ht="35.1" customHeight="1" x14ac:dyDescent="0.2">
      <c r="A250" s="237">
        <f t="shared" si="110"/>
        <v>119</v>
      </c>
      <c r="B250" s="72" t="s">
        <v>119</v>
      </c>
      <c r="C250" s="73" t="s">
        <v>335</v>
      </c>
      <c r="D250" s="72" t="s">
        <v>22</v>
      </c>
      <c r="E250" s="72" t="s">
        <v>190</v>
      </c>
      <c r="F250" s="216">
        <v>32000</v>
      </c>
      <c r="G250" s="216">
        <f>F250*2.87%</f>
        <v>918.4</v>
      </c>
      <c r="H250" s="216">
        <f>+F250*3.04%</f>
        <v>972.8</v>
      </c>
      <c r="I250" s="216"/>
      <c r="J250" s="215">
        <f>+G250+H250+I250</f>
        <v>1891.1999999999998</v>
      </c>
      <c r="K250" s="215">
        <f t="shared" si="114"/>
        <v>30108.799999999999</v>
      </c>
      <c r="L250" s="215">
        <f t="shared" si="107"/>
        <v>0</v>
      </c>
      <c r="M250" s="221">
        <v>7535.63</v>
      </c>
      <c r="N250" s="215">
        <f t="shared" si="108"/>
        <v>9426.83</v>
      </c>
      <c r="O250" s="84">
        <f t="shared" si="109"/>
        <v>22573.17</v>
      </c>
    </row>
    <row r="251" spans="1:15" s="219" customFormat="1" ht="35.1" customHeight="1" x14ac:dyDescent="0.2">
      <c r="A251" s="237">
        <f t="shared" si="110"/>
        <v>120</v>
      </c>
      <c r="B251" s="72" t="s">
        <v>19</v>
      </c>
      <c r="C251" s="73" t="s">
        <v>334</v>
      </c>
      <c r="D251" s="72" t="s">
        <v>22</v>
      </c>
      <c r="E251" s="72" t="s">
        <v>97</v>
      </c>
      <c r="F251" s="216">
        <v>28000</v>
      </c>
      <c r="G251" s="216">
        <f t="shared" si="115"/>
        <v>803.6</v>
      </c>
      <c r="H251" s="216">
        <f t="shared" si="116"/>
        <v>851.2</v>
      </c>
      <c r="I251" s="216">
        <v>0</v>
      </c>
      <c r="J251" s="215">
        <f t="shared" si="96"/>
        <v>1654.8000000000002</v>
      </c>
      <c r="K251" s="215">
        <f t="shared" si="114"/>
        <v>26345.200000000001</v>
      </c>
      <c r="L251" s="215">
        <f t="shared" si="107"/>
        <v>0</v>
      </c>
      <c r="M251" s="221">
        <v>10736.16</v>
      </c>
      <c r="N251" s="215">
        <f t="shared" si="108"/>
        <v>12390.960000000001</v>
      </c>
      <c r="O251" s="84">
        <f t="shared" si="109"/>
        <v>15609.039999999999</v>
      </c>
    </row>
    <row r="252" spans="1:15" s="219" customFormat="1" ht="35.1" customHeight="1" x14ac:dyDescent="0.2">
      <c r="A252" s="237">
        <f t="shared" si="110"/>
        <v>121</v>
      </c>
      <c r="B252" s="72" t="s">
        <v>260</v>
      </c>
      <c r="C252" s="73" t="s">
        <v>335</v>
      </c>
      <c r="D252" s="72" t="s">
        <v>22</v>
      </c>
      <c r="E252" s="72" t="s">
        <v>97</v>
      </c>
      <c r="F252" s="216">
        <v>28000</v>
      </c>
      <c r="G252" s="216">
        <f t="shared" si="115"/>
        <v>803.6</v>
      </c>
      <c r="H252" s="216">
        <f t="shared" si="116"/>
        <v>851.2</v>
      </c>
      <c r="I252" s="216"/>
      <c r="J252" s="215">
        <f t="shared" si="96"/>
        <v>1654.8000000000002</v>
      </c>
      <c r="K252" s="215">
        <f t="shared" si="114"/>
        <v>26345.200000000001</v>
      </c>
      <c r="L252" s="215">
        <f t="shared" si="107"/>
        <v>0</v>
      </c>
      <c r="M252" s="221">
        <v>225</v>
      </c>
      <c r="N252" s="215">
        <f t="shared" si="108"/>
        <v>1879.8000000000002</v>
      </c>
      <c r="O252" s="84">
        <f t="shared" si="109"/>
        <v>26120.2</v>
      </c>
    </row>
    <row r="253" spans="1:15" s="219" customFormat="1" ht="35.1" customHeight="1" x14ac:dyDescent="0.2">
      <c r="A253" s="237">
        <f t="shared" si="110"/>
        <v>122</v>
      </c>
      <c r="B253" s="72" t="s">
        <v>262</v>
      </c>
      <c r="C253" s="73" t="s">
        <v>334</v>
      </c>
      <c r="D253" s="72" t="s">
        <v>22</v>
      </c>
      <c r="E253" s="72" t="s">
        <v>190</v>
      </c>
      <c r="F253" s="216">
        <v>28000</v>
      </c>
      <c r="G253" s="216">
        <f t="shared" si="115"/>
        <v>803.6</v>
      </c>
      <c r="H253" s="216">
        <f t="shared" si="116"/>
        <v>851.2</v>
      </c>
      <c r="I253" s="216"/>
      <c r="J253" s="215">
        <f t="shared" si="96"/>
        <v>1654.8000000000002</v>
      </c>
      <c r="K253" s="215">
        <f t="shared" si="114"/>
        <v>26345.200000000001</v>
      </c>
      <c r="L253" s="215">
        <f t="shared" si="107"/>
        <v>0</v>
      </c>
      <c r="M253" s="221">
        <v>225</v>
      </c>
      <c r="N253" s="215">
        <f t="shared" si="108"/>
        <v>1879.8000000000002</v>
      </c>
      <c r="O253" s="84">
        <f t="shared" si="109"/>
        <v>26120.2</v>
      </c>
    </row>
    <row r="254" spans="1:15" s="219" customFormat="1" ht="35.1" customHeight="1" x14ac:dyDescent="0.2">
      <c r="A254" s="237">
        <f t="shared" si="110"/>
        <v>123</v>
      </c>
      <c r="B254" s="72" t="s">
        <v>263</v>
      </c>
      <c r="C254" s="73" t="s">
        <v>335</v>
      </c>
      <c r="D254" s="72" t="s">
        <v>22</v>
      </c>
      <c r="E254" s="72" t="s">
        <v>190</v>
      </c>
      <c r="F254" s="216">
        <v>28000</v>
      </c>
      <c r="G254" s="216">
        <f t="shared" si="115"/>
        <v>803.6</v>
      </c>
      <c r="H254" s="216">
        <f t="shared" si="116"/>
        <v>851.2</v>
      </c>
      <c r="I254" s="216"/>
      <c r="J254" s="215">
        <f t="shared" si="96"/>
        <v>1654.8000000000002</v>
      </c>
      <c r="K254" s="215">
        <f t="shared" si="114"/>
        <v>26345.200000000001</v>
      </c>
      <c r="L254" s="215">
        <f t="shared" si="107"/>
        <v>0</v>
      </c>
      <c r="M254" s="221">
        <v>1330.29</v>
      </c>
      <c r="N254" s="215">
        <f t="shared" si="108"/>
        <v>2985.0899999999997</v>
      </c>
      <c r="O254" s="84">
        <f t="shared" si="109"/>
        <v>25014.91</v>
      </c>
    </row>
    <row r="255" spans="1:15" s="148" customFormat="1" ht="35.1" customHeight="1" x14ac:dyDescent="0.2">
      <c r="A255" s="237">
        <f t="shared" si="110"/>
        <v>124</v>
      </c>
      <c r="B255" s="72" t="s">
        <v>371</v>
      </c>
      <c r="C255" s="73" t="s">
        <v>334</v>
      </c>
      <c r="D255" s="72" t="s">
        <v>22</v>
      </c>
      <c r="E255" s="72" t="s">
        <v>190</v>
      </c>
      <c r="F255" s="216">
        <v>28000</v>
      </c>
      <c r="G255" s="216">
        <f t="shared" si="115"/>
        <v>803.6</v>
      </c>
      <c r="H255" s="216">
        <f t="shared" si="116"/>
        <v>851.2</v>
      </c>
      <c r="I255" s="216">
        <v>0</v>
      </c>
      <c r="J255" s="215">
        <f t="shared" si="96"/>
        <v>1654.8000000000002</v>
      </c>
      <c r="K255" s="215">
        <f t="shared" si="114"/>
        <v>26345.200000000001</v>
      </c>
      <c r="L255" s="215">
        <f t="shared" si="107"/>
        <v>0</v>
      </c>
      <c r="M255" s="221">
        <v>25</v>
      </c>
      <c r="N255" s="215">
        <f t="shared" si="108"/>
        <v>1679.8000000000002</v>
      </c>
      <c r="O255" s="84">
        <f t="shared" si="109"/>
        <v>26320.2</v>
      </c>
    </row>
    <row r="256" spans="1:15" s="148" customFormat="1" ht="35.1" customHeight="1" x14ac:dyDescent="0.2">
      <c r="A256" s="237">
        <f t="shared" si="110"/>
        <v>125</v>
      </c>
      <c r="B256" s="72" t="s">
        <v>441</v>
      </c>
      <c r="C256" s="73" t="s">
        <v>334</v>
      </c>
      <c r="D256" s="72" t="s">
        <v>22</v>
      </c>
      <c r="E256" s="72" t="s">
        <v>190</v>
      </c>
      <c r="F256" s="216">
        <v>24000</v>
      </c>
      <c r="G256" s="216">
        <f t="shared" ref="G256" si="117">F256*2.87%</f>
        <v>688.8</v>
      </c>
      <c r="H256" s="216">
        <f t="shared" ref="H256" si="118">+F256*3.04%</f>
        <v>729.6</v>
      </c>
      <c r="I256" s="216">
        <v>1919.78</v>
      </c>
      <c r="J256" s="215">
        <f t="shared" si="96"/>
        <v>3338.1800000000003</v>
      </c>
      <c r="K256" s="215">
        <f t="shared" si="114"/>
        <v>20661.82</v>
      </c>
      <c r="L256" s="215">
        <f t="shared" si="107"/>
        <v>0</v>
      </c>
      <c r="M256" s="221">
        <v>11284.41</v>
      </c>
      <c r="N256" s="215">
        <f t="shared" si="108"/>
        <v>14622.59</v>
      </c>
      <c r="O256" s="84">
        <f t="shared" si="109"/>
        <v>9377.41</v>
      </c>
    </row>
    <row r="257" spans="1:16" s="148" customFormat="1" ht="35.1" customHeight="1" x14ac:dyDescent="0.2">
      <c r="A257" s="237">
        <f t="shared" si="110"/>
        <v>126</v>
      </c>
      <c r="B257" s="72" t="s">
        <v>442</v>
      </c>
      <c r="C257" s="73" t="s">
        <v>334</v>
      </c>
      <c r="D257" s="72" t="s">
        <v>22</v>
      </c>
      <c r="E257" s="72" t="s">
        <v>190</v>
      </c>
      <c r="F257" s="216">
        <v>24000</v>
      </c>
      <c r="G257" s="216">
        <f t="shared" ref="G257:G259" si="119">F257*2.87%</f>
        <v>688.8</v>
      </c>
      <c r="H257" s="216">
        <f t="shared" ref="H257:H259" si="120">+F257*3.04%</f>
        <v>729.6</v>
      </c>
      <c r="I257" s="216">
        <v>1919.78</v>
      </c>
      <c r="J257" s="215">
        <f t="shared" si="96"/>
        <v>3338.1800000000003</v>
      </c>
      <c r="K257" s="215">
        <f t="shared" si="114"/>
        <v>20661.82</v>
      </c>
      <c r="L257" s="215">
        <f t="shared" si="107"/>
        <v>0</v>
      </c>
      <c r="M257" s="221">
        <v>5505.94</v>
      </c>
      <c r="N257" s="215">
        <f t="shared" si="108"/>
        <v>8844.119999999999</v>
      </c>
      <c r="O257" s="84">
        <f t="shared" si="109"/>
        <v>15155.880000000001</v>
      </c>
    </row>
    <row r="258" spans="1:16" s="219" customFormat="1" ht="35.1" customHeight="1" x14ac:dyDescent="0.2">
      <c r="A258" s="237">
        <f t="shared" si="110"/>
        <v>127</v>
      </c>
      <c r="B258" s="72" t="s">
        <v>443</v>
      </c>
      <c r="C258" s="73" t="s">
        <v>335</v>
      </c>
      <c r="D258" s="72" t="s">
        <v>75</v>
      </c>
      <c r="E258" s="72" t="s">
        <v>190</v>
      </c>
      <c r="F258" s="216">
        <v>24000</v>
      </c>
      <c r="G258" s="216">
        <f t="shared" si="119"/>
        <v>688.8</v>
      </c>
      <c r="H258" s="216">
        <f t="shared" si="120"/>
        <v>729.6</v>
      </c>
      <c r="I258" s="216"/>
      <c r="J258" s="215">
        <f t="shared" si="96"/>
        <v>1418.4</v>
      </c>
      <c r="K258" s="215">
        <f t="shared" si="114"/>
        <v>22581.599999999999</v>
      </c>
      <c r="L258" s="215">
        <f t="shared" si="107"/>
        <v>0</v>
      </c>
      <c r="M258" s="221">
        <v>4833.67</v>
      </c>
      <c r="N258" s="215">
        <f t="shared" si="108"/>
        <v>6252.0700000000006</v>
      </c>
      <c r="O258" s="84">
        <f t="shared" si="109"/>
        <v>17747.93</v>
      </c>
    </row>
    <row r="259" spans="1:16" s="219" customFormat="1" ht="35.1" customHeight="1" x14ac:dyDescent="0.2">
      <c r="A259" s="237">
        <f t="shared" si="110"/>
        <v>128</v>
      </c>
      <c r="B259" s="72" t="s">
        <v>444</v>
      </c>
      <c r="C259" s="73" t="s">
        <v>335</v>
      </c>
      <c r="D259" s="72" t="s">
        <v>22</v>
      </c>
      <c r="E259" s="72" t="s">
        <v>190</v>
      </c>
      <c r="F259" s="216">
        <v>24000</v>
      </c>
      <c r="G259" s="216">
        <f t="shared" si="119"/>
        <v>688.8</v>
      </c>
      <c r="H259" s="216">
        <f t="shared" si="120"/>
        <v>729.6</v>
      </c>
      <c r="I259" s="216"/>
      <c r="J259" s="215">
        <f t="shared" si="96"/>
        <v>1418.4</v>
      </c>
      <c r="K259" s="215">
        <f t="shared" si="114"/>
        <v>22581.599999999999</v>
      </c>
      <c r="L259" s="215">
        <f t="shared" si="107"/>
        <v>0</v>
      </c>
      <c r="M259" s="221">
        <v>2517.62</v>
      </c>
      <c r="N259" s="215">
        <f t="shared" si="108"/>
        <v>3936.0199999999995</v>
      </c>
      <c r="O259" s="84">
        <f t="shared" si="109"/>
        <v>20063.98</v>
      </c>
    </row>
    <row r="260" spans="1:16" s="219" customFormat="1" ht="35.1" customHeight="1" x14ac:dyDescent="0.2">
      <c r="A260" s="237">
        <f t="shared" si="110"/>
        <v>129</v>
      </c>
      <c r="B260" s="72" t="s">
        <v>515</v>
      </c>
      <c r="C260" s="73" t="s">
        <v>335</v>
      </c>
      <c r="D260" s="72" t="s">
        <v>22</v>
      </c>
      <c r="E260" s="72" t="s">
        <v>190</v>
      </c>
      <c r="F260" s="216">
        <v>24000</v>
      </c>
      <c r="G260" s="216">
        <f t="shared" ref="G260:G262" si="121">F260*2.87%</f>
        <v>688.8</v>
      </c>
      <c r="H260" s="216">
        <f t="shared" ref="H260:H262" si="122">+F260*3.04%</f>
        <v>729.6</v>
      </c>
      <c r="I260" s="216"/>
      <c r="J260" s="215">
        <f t="shared" ref="J260:J262" si="123">+G260+H260+I260</f>
        <v>1418.4</v>
      </c>
      <c r="K260" s="215">
        <f t="shared" si="114"/>
        <v>22581.599999999999</v>
      </c>
      <c r="L260" s="215">
        <f t="shared" si="107"/>
        <v>0</v>
      </c>
      <c r="M260" s="221">
        <v>1290.29</v>
      </c>
      <c r="N260" s="215">
        <f t="shared" si="108"/>
        <v>2708.6899999999996</v>
      </c>
      <c r="O260" s="84">
        <f t="shared" si="109"/>
        <v>21291.31</v>
      </c>
    </row>
    <row r="261" spans="1:16" s="219" customFormat="1" ht="35.1" customHeight="1" x14ac:dyDescent="0.2">
      <c r="A261" s="237">
        <f t="shared" si="110"/>
        <v>130</v>
      </c>
      <c r="B261" s="72" t="s">
        <v>546</v>
      </c>
      <c r="C261" s="73" t="s">
        <v>335</v>
      </c>
      <c r="D261" s="72" t="s">
        <v>22</v>
      </c>
      <c r="E261" s="72" t="s">
        <v>190</v>
      </c>
      <c r="F261" s="216">
        <v>24000</v>
      </c>
      <c r="G261" s="216">
        <f t="shared" si="121"/>
        <v>688.8</v>
      </c>
      <c r="H261" s="216">
        <f t="shared" si="122"/>
        <v>729.6</v>
      </c>
      <c r="I261" s="216"/>
      <c r="J261" s="215">
        <f t="shared" si="123"/>
        <v>1418.4</v>
      </c>
      <c r="K261" s="215">
        <f t="shared" si="114"/>
        <v>22581.599999999999</v>
      </c>
      <c r="L261" s="215">
        <f t="shared" si="107"/>
        <v>0</v>
      </c>
      <c r="M261" s="221">
        <v>2969.08</v>
      </c>
      <c r="N261" s="215">
        <f t="shared" si="108"/>
        <v>4387.4799999999996</v>
      </c>
      <c r="O261" s="84">
        <f t="shared" si="109"/>
        <v>19612.52</v>
      </c>
    </row>
    <row r="262" spans="1:16" s="149" customFormat="1" ht="35.1" customHeight="1" x14ac:dyDescent="0.2">
      <c r="A262" s="237">
        <f t="shared" si="110"/>
        <v>131</v>
      </c>
      <c r="B262" s="72" t="s">
        <v>547</v>
      </c>
      <c r="C262" s="73" t="s">
        <v>334</v>
      </c>
      <c r="D262" s="72" t="s">
        <v>22</v>
      </c>
      <c r="E262" s="72" t="s">
        <v>190</v>
      </c>
      <c r="F262" s="216">
        <v>24000</v>
      </c>
      <c r="G262" s="216">
        <f t="shared" si="121"/>
        <v>688.8</v>
      </c>
      <c r="H262" s="216">
        <f t="shared" si="122"/>
        <v>729.6</v>
      </c>
      <c r="I262" s="216"/>
      <c r="J262" s="215">
        <f t="shared" si="123"/>
        <v>1418.4</v>
      </c>
      <c r="K262" s="215">
        <f t="shared" si="114"/>
        <v>22581.599999999999</v>
      </c>
      <c r="L262" s="215">
        <f t="shared" si="107"/>
        <v>0</v>
      </c>
      <c r="M262" s="221">
        <v>2290.29</v>
      </c>
      <c r="N262" s="215">
        <f t="shared" si="108"/>
        <v>3708.6899999999996</v>
      </c>
      <c r="O262" s="84">
        <f t="shared" si="109"/>
        <v>20291.310000000001</v>
      </c>
    </row>
    <row r="263" spans="1:16" s="148" customFormat="1" ht="35.1" customHeight="1" x14ac:dyDescent="0.2">
      <c r="A263" s="237">
        <f t="shared" si="110"/>
        <v>132</v>
      </c>
      <c r="B263" s="72" t="s">
        <v>559</v>
      </c>
      <c r="C263" s="73" t="s">
        <v>335</v>
      </c>
      <c r="D263" s="72" t="s">
        <v>22</v>
      </c>
      <c r="E263" s="72" t="s">
        <v>190</v>
      </c>
      <c r="F263" s="216">
        <v>24000</v>
      </c>
      <c r="G263" s="216">
        <f t="shared" ref="G263:G269" si="124">F263*2.87%</f>
        <v>688.8</v>
      </c>
      <c r="H263" s="216">
        <f t="shared" ref="H263:H269" si="125">+F263*3.04%</f>
        <v>729.6</v>
      </c>
      <c r="I263" s="216"/>
      <c r="J263" s="215">
        <f t="shared" ref="J263:J269" si="126">+G263+H263+I263</f>
        <v>1418.4</v>
      </c>
      <c r="K263" s="215">
        <f t="shared" ref="K263:K269" si="127">+F263-J263</f>
        <v>22581.599999999999</v>
      </c>
      <c r="L263" s="215">
        <f t="shared" si="107"/>
        <v>0</v>
      </c>
      <c r="M263" s="221">
        <v>7206.22</v>
      </c>
      <c r="N263" s="215">
        <f t="shared" si="108"/>
        <v>8624.6200000000008</v>
      </c>
      <c r="O263" s="84">
        <f t="shared" si="109"/>
        <v>15375.38</v>
      </c>
    </row>
    <row r="264" spans="1:16" s="218" customFormat="1" ht="35.1" customHeight="1" x14ac:dyDescent="0.2">
      <c r="A264" s="237">
        <f t="shared" si="110"/>
        <v>133</v>
      </c>
      <c r="B264" s="72" t="s">
        <v>560</v>
      </c>
      <c r="C264" s="73" t="s">
        <v>335</v>
      </c>
      <c r="D264" s="72" t="s">
        <v>22</v>
      </c>
      <c r="E264" s="72" t="s">
        <v>190</v>
      </c>
      <c r="F264" s="216">
        <v>24000</v>
      </c>
      <c r="G264" s="216">
        <f t="shared" si="124"/>
        <v>688.8</v>
      </c>
      <c r="H264" s="216">
        <f t="shared" si="125"/>
        <v>729.6</v>
      </c>
      <c r="I264" s="216"/>
      <c r="J264" s="215">
        <f t="shared" si="126"/>
        <v>1418.4</v>
      </c>
      <c r="K264" s="215">
        <f t="shared" si="127"/>
        <v>22581.599999999999</v>
      </c>
      <c r="L264" s="215">
        <f t="shared" si="107"/>
        <v>0</v>
      </c>
      <c r="M264" s="221">
        <v>2290.29</v>
      </c>
      <c r="N264" s="215">
        <f t="shared" si="108"/>
        <v>3708.6899999999996</v>
      </c>
      <c r="O264" s="84">
        <f t="shared" si="109"/>
        <v>20291.310000000001</v>
      </c>
    </row>
    <row r="265" spans="1:16" s="218" customFormat="1" ht="35.1" customHeight="1" x14ac:dyDescent="0.2">
      <c r="A265" s="237">
        <f t="shared" si="110"/>
        <v>134</v>
      </c>
      <c r="B265" s="72" t="s">
        <v>561</v>
      </c>
      <c r="C265" s="299" t="s">
        <v>334</v>
      </c>
      <c r="D265" s="72" t="s">
        <v>22</v>
      </c>
      <c r="E265" s="72" t="s">
        <v>190</v>
      </c>
      <c r="F265" s="216">
        <v>24000</v>
      </c>
      <c r="G265" s="216">
        <f t="shared" si="124"/>
        <v>688.8</v>
      </c>
      <c r="H265" s="216">
        <f t="shared" si="125"/>
        <v>729.6</v>
      </c>
      <c r="I265" s="216"/>
      <c r="J265" s="215">
        <f t="shared" si="126"/>
        <v>1418.4</v>
      </c>
      <c r="K265" s="215">
        <f t="shared" si="127"/>
        <v>22581.599999999999</v>
      </c>
      <c r="L265" s="215">
        <f t="shared" si="107"/>
        <v>0</v>
      </c>
      <c r="M265" s="221">
        <v>2822.09</v>
      </c>
      <c r="N265" s="215">
        <f t="shared" si="108"/>
        <v>4240.49</v>
      </c>
      <c r="O265" s="84">
        <f t="shared" si="109"/>
        <v>19759.510000000002</v>
      </c>
    </row>
    <row r="266" spans="1:16" s="218" customFormat="1" ht="35.1" customHeight="1" x14ac:dyDescent="0.2">
      <c r="A266" s="237">
        <f t="shared" si="110"/>
        <v>135</v>
      </c>
      <c r="B266" s="72" t="s">
        <v>571</v>
      </c>
      <c r="C266" s="299" t="s">
        <v>334</v>
      </c>
      <c r="D266" s="72" t="s">
        <v>22</v>
      </c>
      <c r="E266" s="72" t="s">
        <v>190</v>
      </c>
      <c r="F266" s="216">
        <v>24000</v>
      </c>
      <c r="G266" s="216">
        <f t="shared" si="124"/>
        <v>688.8</v>
      </c>
      <c r="H266" s="216">
        <f t="shared" si="125"/>
        <v>729.6</v>
      </c>
      <c r="I266" s="216"/>
      <c r="J266" s="215">
        <f t="shared" si="126"/>
        <v>1418.4</v>
      </c>
      <c r="K266" s="215">
        <f t="shared" si="127"/>
        <v>22581.599999999999</v>
      </c>
      <c r="L266" s="215">
        <f t="shared" si="107"/>
        <v>0</v>
      </c>
      <c r="M266" s="221">
        <v>225</v>
      </c>
      <c r="N266" s="215">
        <f t="shared" si="108"/>
        <v>1643.4</v>
      </c>
      <c r="O266" s="84">
        <f t="shared" si="109"/>
        <v>22356.6</v>
      </c>
    </row>
    <row r="267" spans="1:16" s="218" customFormat="1" ht="35.1" customHeight="1" x14ac:dyDescent="0.2">
      <c r="A267" s="237">
        <f t="shared" si="110"/>
        <v>136</v>
      </c>
      <c r="B267" s="72" t="s">
        <v>572</v>
      </c>
      <c r="C267" s="299" t="s">
        <v>335</v>
      </c>
      <c r="D267" s="72" t="s">
        <v>22</v>
      </c>
      <c r="E267" s="72" t="s">
        <v>190</v>
      </c>
      <c r="F267" s="216">
        <v>24000</v>
      </c>
      <c r="G267" s="216">
        <f t="shared" si="124"/>
        <v>688.8</v>
      </c>
      <c r="H267" s="216">
        <f t="shared" si="125"/>
        <v>729.6</v>
      </c>
      <c r="I267" s="216"/>
      <c r="J267" s="215">
        <f t="shared" si="126"/>
        <v>1418.4</v>
      </c>
      <c r="K267" s="215">
        <f t="shared" si="127"/>
        <v>22581.599999999999</v>
      </c>
      <c r="L267" s="215">
        <f t="shared" si="107"/>
        <v>0</v>
      </c>
      <c r="M267" s="221">
        <v>1290.29</v>
      </c>
      <c r="N267" s="215">
        <f t="shared" si="108"/>
        <v>2708.6899999999996</v>
      </c>
      <c r="O267" s="84">
        <f t="shared" si="109"/>
        <v>21291.31</v>
      </c>
    </row>
    <row r="268" spans="1:16" s="218" customFormat="1" ht="35.1" customHeight="1" x14ac:dyDescent="0.2">
      <c r="A268" s="237">
        <f t="shared" si="110"/>
        <v>137</v>
      </c>
      <c r="B268" s="72" t="s">
        <v>588</v>
      </c>
      <c r="C268" s="299" t="s">
        <v>335</v>
      </c>
      <c r="D268" s="72" t="s">
        <v>22</v>
      </c>
      <c r="E268" s="72" t="s">
        <v>190</v>
      </c>
      <c r="F268" s="216">
        <v>24000</v>
      </c>
      <c r="G268" s="216">
        <f t="shared" si="124"/>
        <v>688.8</v>
      </c>
      <c r="H268" s="216">
        <f t="shared" si="125"/>
        <v>729.6</v>
      </c>
      <c r="I268" s="216"/>
      <c r="J268" s="215">
        <f t="shared" si="126"/>
        <v>1418.4</v>
      </c>
      <c r="K268" s="215">
        <f t="shared" si="127"/>
        <v>22581.599999999999</v>
      </c>
      <c r="L268" s="215">
        <f t="shared" si="107"/>
        <v>0</v>
      </c>
      <c r="M268" s="221">
        <v>790.29</v>
      </c>
      <c r="N268" s="215">
        <f t="shared" si="108"/>
        <v>2208.6899999999996</v>
      </c>
      <c r="O268" s="84">
        <f t="shared" si="109"/>
        <v>21791.31</v>
      </c>
    </row>
    <row r="269" spans="1:16" s="218" customFormat="1" ht="35.1" customHeight="1" x14ac:dyDescent="0.2">
      <c r="A269" s="237">
        <f t="shared" si="110"/>
        <v>138</v>
      </c>
      <c r="B269" s="72" t="s">
        <v>599</v>
      </c>
      <c r="C269" s="299" t="s">
        <v>335</v>
      </c>
      <c r="D269" s="72" t="s">
        <v>22</v>
      </c>
      <c r="E269" s="72" t="s">
        <v>190</v>
      </c>
      <c r="F269" s="216">
        <v>24000</v>
      </c>
      <c r="G269" s="216">
        <f t="shared" si="124"/>
        <v>688.8</v>
      </c>
      <c r="H269" s="216">
        <f t="shared" si="125"/>
        <v>729.6</v>
      </c>
      <c r="I269" s="216"/>
      <c r="J269" s="215">
        <f t="shared" si="126"/>
        <v>1418.4</v>
      </c>
      <c r="K269" s="215">
        <f t="shared" si="127"/>
        <v>22581.599999999999</v>
      </c>
      <c r="L269" s="215">
        <f t="shared" si="107"/>
        <v>0</v>
      </c>
      <c r="M269" s="221">
        <v>790.29</v>
      </c>
      <c r="N269" s="215">
        <f t="shared" si="108"/>
        <v>2208.6899999999996</v>
      </c>
      <c r="O269" s="84">
        <f t="shared" si="109"/>
        <v>21791.31</v>
      </c>
    </row>
    <row r="270" spans="1:16" s="242" customFormat="1" ht="35.1" customHeight="1" x14ac:dyDescent="0.2">
      <c r="A270" s="223" t="s">
        <v>99</v>
      </c>
      <c r="B270" s="224"/>
      <c r="C270" s="224"/>
      <c r="D270" s="224"/>
      <c r="E270" s="239"/>
      <c r="F270" s="225">
        <f t="shared" ref="F270:L270" si="128">SUM(F239:F269)</f>
        <v>958000</v>
      </c>
      <c r="G270" s="225">
        <f t="shared" si="128"/>
        <v>27494.599999999988</v>
      </c>
      <c r="H270" s="225">
        <f t="shared" si="128"/>
        <v>29123.199999999979</v>
      </c>
      <c r="I270" s="225">
        <f t="shared" si="128"/>
        <v>7679.12</v>
      </c>
      <c r="J270" s="225">
        <f t="shared" si="128"/>
        <v>64296.920000000035</v>
      </c>
      <c r="K270" s="225">
        <f t="shared" si="128"/>
        <v>893703.07999999949</v>
      </c>
      <c r="L270" s="225">
        <f t="shared" si="128"/>
        <v>10399.074499999999</v>
      </c>
      <c r="M270" s="225">
        <f>SUM(M239:M269)</f>
        <v>102262.97999999995</v>
      </c>
      <c r="N270" s="225">
        <f>SUM(N239:N269)</f>
        <v>176958.97449999998</v>
      </c>
      <c r="O270" s="225">
        <f>SUM(O239:O269)</f>
        <v>781041.02550000034</v>
      </c>
      <c r="P270" s="340"/>
    </row>
    <row r="271" spans="1:16" s="219" customFormat="1" ht="35.1" customHeight="1" thickBot="1" x14ac:dyDescent="0.25">
      <c r="A271" s="146"/>
      <c r="B271" s="146"/>
      <c r="C271" s="146"/>
      <c r="D271" s="146"/>
      <c r="E271" s="146"/>
      <c r="F271" s="226"/>
      <c r="G271" s="226"/>
      <c r="H271" s="226"/>
      <c r="I271" s="226"/>
      <c r="J271" s="226"/>
      <c r="K271" s="226"/>
      <c r="L271" s="226"/>
      <c r="M271" s="226"/>
      <c r="N271" s="226"/>
      <c r="O271" s="226"/>
    </row>
    <row r="272" spans="1:16" s="219" customFormat="1" ht="35.1" customHeight="1" thickBot="1" x14ac:dyDescent="0.25">
      <c r="A272" s="229" t="s">
        <v>265</v>
      </c>
      <c r="B272" s="230"/>
      <c r="C272" s="230"/>
      <c r="D272" s="230"/>
      <c r="E272" s="230"/>
      <c r="F272" s="230"/>
      <c r="G272" s="230"/>
      <c r="H272" s="230"/>
      <c r="I272" s="230"/>
      <c r="J272" s="230"/>
      <c r="K272" s="230"/>
      <c r="L272" s="230"/>
      <c r="M272" s="230"/>
      <c r="N272" s="230"/>
      <c r="O272" s="230"/>
    </row>
    <row r="273" spans="1:16" s="219" customFormat="1" ht="35.1" customHeight="1" x14ac:dyDescent="0.2">
      <c r="A273" s="73">
        <f>+A242+1</f>
        <v>112</v>
      </c>
      <c r="B273" s="72" t="s">
        <v>267</v>
      </c>
      <c r="C273" s="73" t="s">
        <v>334</v>
      </c>
      <c r="D273" s="72" t="s">
        <v>266</v>
      </c>
      <c r="E273" s="72" t="s">
        <v>190</v>
      </c>
      <c r="F273" s="216">
        <v>55000</v>
      </c>
      <c r="G273" s="68">
        <f>F273*2.87%</f>
        <v>1578.5</v>
      </c>
      <c r="H273" s="68">
        <f>+F273*3.04%</f>
        <v>1672</v>
      </c>
      <c r="I273" s="68">
        <v>1919.78</v>
      </c>
      <c r="J273" s="69">
        <f>+G273+H273+I273</f>
        <v>5170.28</v>
      </c>
      <c r="K273" s="69">
        <f>+F273-J273</f>
        <v>49829.72</v>
      </c>
      <c r="L273" s="69">
        <f t="shared" ref="L273:L276" si="129">+IF(K273*12&lt;=416220.01,0,IF(K273*12&lt;=624329.01,(((K273*12-416220.01)*0.15)/12),IF((K273*12&lt;=867123.01),(31216+0.2*(K273*12-624329.01))/12,((79776+0.25*(K273*12-867123.01))/12))))</f>
        <v>2271.7078750000001</v>
      </c>
      <c r="M273" s="221">
        <v>225</v>
      </c>
      <c r="N273" s="215">
        <f>+M273+I273+H273+G273+L273</f>
        <v>7666.9878749999998</v>
      </c>
      <c r="O273" s="84">
        <f>+F273-N273</f>
        <v>47333.012125000001</v>
      </c>
    </row>
    <row r="274" spans="1:16" s="219" customFormat="1" ht="35.1" customHeight="1" x14ac:dyDescent="0.2">
      <c r="A274" s="73">
        <v>114</v>
      </c>
      <c r="B274" s="216" t="s">
        <v>517</v>
      </c>
      <c r="C274" s="273" t="s">
        <v>334</v>
      </c>
      <c r="D274" s="72" t="s">
        <v>266</v>
      </c>
      <c r="E274" s="72" t="s">
        <v>190</v>
      </c>
      <c r="F274" s="221">
        <v>50000</v>
      </c>
      <c r="G274" s="216">
        <f>F274*2.87%</f>
        <v>1435</v>
      </c>
      <c r="H274" s="216">
        <f>+F274*3.04%</f>
        <v>1520</v>
      </c>
      <c r="I274" s="68">
        <v>1919.78</v>
      </c>
      <c r="J274" s="69">
        <f>+G274+H274+I274</f>
        <v>4874.78</v>
      </c>
      <c r="K274" s="69">
        <f>+F274-J274</f>
        <v>45125.22</v>
      </c>
      <c r="L274" s="69">
        <f>+IF(K274*12&lt;=416220.01,0,IF(K274*12&lt;=624329.01,(((K274*12-416220.01)*0.15)/12),IF((K274*12&lt;=867123.01),(31216+0.2*(K274*12-624329.01))/12,((79776+0.25*(K274*12-867123.01))/12))))</f>
        <v>1566.0328749999999</v>
      </c>
      <c r="M274" s="215">
        <v>265</v>
      </c>
      <c r="N274" s="215">
        <f t="shared" ref="N274:N277" si="130">+M274+I274+H274+G274+L274</f>
        <v>6705.8128749999996</v>
      </c>
      <c r="O274" s="84">
        <f t="shared" ref="O274:O277" si="131">+F274-N274</f>
        <v>43294.187124999997</v>
      </c>
    </row>
    <row r="275" spans="1:16" s="219" customFormat="1" ht="35.1" customHeight="1" x14ac:dyDescent="0.2">
      <c r="A275" s="73">
        <v>115</v>
      </c>
      <c r="B275" s="72" t="s">
        <v>261</v>
      </c>
      <c r="C275" s="73" t="s">
        <v>334</v>
      </c>
      <c r="D275" s="72" t="s">
        <v>116</v>
      </c>
      <c r="E275" s="72" t="s">
        <v>190</v>
      </c>
      <c r="F275" s="216">
        <v>28000</v>
      </c>
      <c r="G275" s="216">
        <f t="shared" ref="G275:G277" si="132">F275*2.87%</f>
        <v>803.6</v>
      </c>
      <c r="H275" s="216">
        <f t="shared" ref="H275:H277" si="133">+F275*3.04%</f>
        <v>851.2</v>
      </c>
      <c r="I275" s="68"/>
      <c r="J275" s="69">
        <f t="shared" ref="J275" si="134">+G275+H275+I275</f>
        <v>1654.8000000000002</v>
      </c>
      <c r="K275" s="69">
        <f t="shared" ref="K275" si="135">+F275-J275</f>
        <v>26345.200000000001</v>
      </c>
      <c r="L275" s="69">
        <f t="shared" si="129"/>
        <v>0</v>
      </c>
      <c r="M275" s="221">
        <v>8553.8700000000008</v>
      </c>
      <c r="N275" s="215">
        <f t="shared" si="130"/>
        <v>10208.670000000002</v>
      </c>
      <c r="O275" s="84">
        <f t="shared" si="131"/>
        <v>17791.329999999998</v>
      </c>
    </row>
    <row r="276" spans="1:16" s="219" customFormat="1" ht="35.1" customHeight="1" x14ac:dyDescent="0.2">
      <c r="A276" s="73">
        <v>116</v>
      </c>
      <c r="B276" s="216" t="s">
        <v>548</v>
      </c>
      <c r="C276" s="273" t="s">
        <v>334</v>
      </c>
      <c r="D276" s="241" t="s">
        <v>116</v>
      </c>
      <c r="E276" s="72" t="s">
        <v>190</v>
      </c>
      <c r="F276" s="234">
        <v>24000</v>
      </c>
      <c r="G276" s="68">
        <f t="shared" si="132"/>
        <v>688.8</v>
      </c>
      <c r="H276" s="68">
        <f t="shared" si="133"/>
        <v>729.6</v>
      </c>
      <c r="I276" s="68"/>
      <c r="J276" s="69">
        <f t="shared" si="96"/>
        <v>1418.4</v>
      </c>
      <c r="K276" s="69">
        <f>+F276-J276</f>
        <v>22581.599999999999</v>
      </c>
      <c r="L276" s="69">
        <f t="shared" si="129"/>
        <v>0</v>
      </c>
      <c r="M276" s="69">
        <v>25</v>
      </c>
      <c r="N276" s="215">
        <f t="shared" si="130"/>
        <v>1443.4</v>
      </c>
      <c r="O276" s="84">
        <f t="shared" si="131"/>
        <v>22556.6</v>
      </c>
    </row>
    <row r="277" spans="1:16" s="219" customFormat="1" ht="35.1" customHeight="1" x14ac:dyDescent="0.2">
      <c r="A277" s="73">
        <v>117</v>
      </c>
      <c r="B277" s="216" t="s">
        <v>629</v>
      </c>
      <c r="C277" s="273" t="s">
        <v>334</v>
      </c>
      <c r="D277" s="241" t="s">
        <v>116</v>
      </c>
      <c r="E277" s="72" t="s">
        <v>190</v>
      </c>
      <c r="F277" s="234">
        <v>24000</v>
      </c>
      <c r="G277" s="68">
        <f t="shared" si="132"/>
        <v>688.8</v>
      </c>
      <c r="H277" s="68">
        <f t="shared" si="133"/>
        <v>729.6</v>
      </c>
      <c r="I277" s="68"/>
      <c r="J277" s="69">
        <f t="shared" si="96"/>
        <v>1418.4</v>
      </c>
      <c r="K277" s="69">
        <f>+F277-J277</f>
        <v>22581.599999999999</v>
      </c>
      <c r="L277" s="69"/>
      <c r="M277" s="69">
        <v>25</v>
      </c>
      <c r="N277" s="215">
        <f t="shared" si="130"/>
        <v>1443.4</v>
      </c>
      <c r="O277" s="84">
        <f t="shared" si="131"/>
        <v>22556.6</v>
      </c>
    </row>
    <row r="278" spans="1:16" s="219" customFormat="1" ht="35.1" customHeight="1" thickBot="1" x14ac:dyDescent="0.25">
      <c r="A278" s="223" t="s">
        <v>99</v>
      </c>
      <c r="B278" s="224"/>
      <c r="C278" s="224"/>
      <c r="D278" s="224"/>
      <c r="E278" s="239"/>
      <c r="F278" s="225">
        <f t="shared" ref="F278:O278" si="136">SUM(F273:F277)</f>
        <v>181000</v>
      </c>
      <c r="G278" s="225">
        <f t="shared" si="136"/>
        <v>5194.7</v>
      </c>
      <c r="H278" s="225">
        <f t="shared" si="136"/>
        <v>5502.4000000000005</v>
      </c>
      <c r="I278" s="225">
        <f t="shared" si="136"/>
        <v>3839.56</v>
      </c>
      <c r="J278" s="225">
        <f t="shared" si="136"/>
        <v>14536.66</v>
      </c>
      <c r="K278" s="225">
        <f t="shared" si="136"/>
        <v>166463.34</v>
      </c>
      <c r="L278" s="225">
        <f t="shared" si="136"/>
        <v>3837.7407499999999</v>
      </c>
      <c r="M278" s="225">
        <f t="shared" si="136"/>
        <v>9093.8700000000008</v>
      </c>
      <c r="N278" s="225">
        <f t="shared" si="136"/>
        <v>27468.270750000003</v>
      </c>
      <c r="O278" s="225">
        <f t="shared" si="136"/>
        <v>153531.72925</v>
      </c>
      <c r="P278" s="339"/>
    </row>
    <row r="279" spans="1:16" s="219" customFormat="1" ht="35.1" customHeight="1" thickBot="1" x14ac:dyDescent="0.25">
      <c r="A279" s="229" t="s">
        <v>268</v>
      </c>
      <c r="B279" s="230"/>
      <c r="C279" s="230"/>
      <c r="D279" s="230"/>
      <c r="E279" s="230"/>
      <c r="F279" s="230"/>
      <c r="G279" s="230"/>
      <c r="H279" s="230"/>
      <c r="I279" s="230"/>
      <c r="J279" s="230"/>
      <c r="K279" s="230"/>
      <c r="L279" s="230"/>
      <c r="M279" s="230"/>
      <c r="N279" s="230"/>
      <c r="O279" s="230"/>
    </row>
    <row r="280" spans="1:16" s="219" customFormat="1" ht="35.1" customHeight="1" x14ac:dyDescent="0.2">
      <c r="A280" s="73">
        <f>+A277+1</f>
        <v>118</v>
      </c>
      <c r="B280" s="72" t="s">
        <v>106</v>
      </c>
      <c r="C280" s="73" t="s">
        <v>334</v>
      </c>
      <c r="D280" s="72" t="s">
        <v>108</v>
      </c>
      <c r="E280" s="72" t="s">
        <v>190</v>
      </c>
      <c r="F280" s="216">
        <v>60000</v>
      </c>
      <c r="G280" s="216">
        <f>F280*2.87%</f>
        <v>1722</v>
      </c>
      <c r="H280" s="216">
        <f>+F280*3.04%</f>
        <v>1824</v>
      </c>
      <c r="I280" s="216"/>
      <c r="J280" s="215">
        <f t="shared" si="96"/>
        <v>3546</v>
      </c>
      <c r="K280" s="215">
        <f>+F280-J280</f>
        <v>56454</v>
      </c>
      <c r="L280" s="69">
        <f t="shared" ref="L280:L305" si="137">+IF(K280*12&lt;=416220.01,0,IF(K280*12&lt;=624329.01,(((K280*12-416220.01)*0.15)/12),IF((K280*12&lt;=867123.01),(31216+0.2*(K280*12-624329.01))/12,((79776+0.25*(K280*12-867123.01))/12))))</f>
        <v>3486.6498333333329</v>
      </c>
      <c r="M280" s="221">
        <v>25</v>
      </c>
      <c r="N280" s="215">
        <f t="shared" ref="N280:N305" si="138">+M280+I280+H280+G280+L280</f>
        <v>7057.6498333333329</v>
      </c>
      <c r="O280" s="221">
        <f t="shared" ref="O280:O305" si="139">+F280-N280</f>
        <v>52942.350166666671</v>
      </c>
    </row>
    <row r="281" spans="1:16" s="219" customFormat="1" ht="35.1" customHeight="1" x14ac:dyDescent="0.2">
      <c r="A281" s="73">
        <f>+A280+1</f>
        <v>119</v>
      </c>
      <c r="B281" s="72" t="s">
        <v>23</v>
      </c>
      <c r="C281" s="73" t="s">
        <v>334</v>
      </c>
      <c r="D281" s="72" t="s">
        <v>108</v>
      </c>
      <c r="E281" s="72" t="s">
        <v>97</v>
      </c>
      <c r="F281" s="216">
        <v>60000</v>
      </c>
      <c r="G281" s="216">
        <f t="shared" ref="G281:G288" si="140">F281*2.87%</f>
        <v>1722</v>
      </c>
      <c r="H281" s="216">
        <f t="shared" ref="H281:H295" si="141">+F281*3.04%</f>
        <v>1824</v>
      </c>
      <c r="I281" s="216"/>
      <c r="J281" s="215">
        <f t="shared" si="96"/>
        <v>3546</v>
      </c>
      <c r="K281" s="215">
        <f t="shared" ref="K281:K302" si="142">+F281-J281</f>
        <v>56454</v>
      </c>
      <c r="L281" s="69">
        <f t="shared" si="137"/>
        <v>3486.6498333333329</v>
      </c>
      <c r="M281" s="221">
        <v>265</v>
      </c>
      <c r="N281" s="215">
        <f t="shared" si="138"/>
        <v>7297.6498333333329</v>
      </c>
      <c r="O281" s="221">
        <f t="shared" si="139"/>
        <v>52702.350166666671</v>
      </c>
    </row>
    <row r="282" spans="1:16" s="149" customFormat="1" ht="35.1" customHeight="1" x14ac:dyDescent="0.2">
      <c r="A282" s="73">
        <f>+A281+1</f>
        <v>120</v>
      </c>
      <c r="B282" s="72" t="s">
        <v>468</v>
      </c>
      <c r="C282" s="73" t="s">
        <v>335</v>
      </c>
      <c r="D282" s="88" t="s">
        <v>13</v>
      </c>
      <c r="E282" s="72" t="s">
        <v>190</v>
      </c>
      <c r="F282" s="216">
        <v>38000</v>
      </c>
      <c r="G282" s="216">
        <f>F282*2.87%</f>
        <v>1090.5999999999999</v>
      </c>
      <c r="H282" s="216">
        <f>+F282*3.04%</f>
        <v>1155.2</v>
      </c>
      <c r="I282" s="216"/>
      <c r="J282" s="215">
        <f>+G282+H282+I282</f>
        <v>2245.8000000000002</v>
      </c>
      <c r="K282" s="215">
        <f>+F282-J282</f>
        <v>35754.199999999997</v>
      </c>
      <c r="L282" s="69">
        <v>0</v>
      </c>
      <c r="M282" s="221">
        <v>2323.69</v>
      </c>
      <c r="N282" s="215">
        <f t="shared" si="138"/>
        <v>4569.49</v>
      </c>
      <c r="O282" s="215">
        <f t="shared" si="139"/>
        <v>33430.51</v>
      </c>
    </row>
    <row r="283" spans="1:16" s="149" customFormat="1" ht="35.1" customHeight="1" x14ac:dyDescent="0.2">
      <c r="A283" s="73">
        <f>+A282+1</f>
        <v>121</v>
      </c>
      <c r="B283" s="72" t="s">
        <v>269</v>
      </c>
      <c r="C283" s="73" t="s">
        <v>334</v>
      </c>
      <c r="D283" s="72" t="s">
        <v>25</v>
      </c>
      <c r="E283" s="72" t="s">
        <v>190</v>
      </c>
      <c r="F283" s="216">
        <v>36000</v>
      </c>
      <c r="G283" s="216">
        <f t="shared" si="140"/>
        <v>1033.2</v>
      </c>
      <c r="H283" s="216">
        <f t="shared" si="141"/>
        <v>1094.4000000000001</v>
      </c>
      <c r="I283" s="216"/>
      <c r="J283" s="215">
        <f t="shared" si="96"/>
        <v>2127.6000000000004</v>
      </c>
      <c r="K283" s="215">
        <f t="shared" si="142"/>
        <v>33872.400000000001</v>
      </c>
      <c r="L283" s="69">
        <f t="shared" si="137"/>
        <v>0</v>
      </c>
      <c r="M283" s="221">
        <v>345</v>
      </c>
      <c r="N283" s="215">
        <f t="shared" si="138"/>
        <v>2472.6000000000004</v>
      </c>
      <c r="O283" s="221">
        <f t="shared" si="139"/>
        <v>33527.4</v>
      </c>
    </row>
    <row r="284" spans="1:16" s="149" customFormat="1" ht="35.1" customHeight="1" x14ac:dyDescent="0.2">
      <c r="A284" s="73">
        <f>+A283+1</f>
        <v>122</v>
      </c>
      <c r="B284" s="72" t="s">
        <v>270</v>
      </c>
      <c r="C284" s="73" t="s">
        <v>334</v>
      </c>
      <c r="D284" s="72" t="s">
        <v>25</v>
      </c>
      <c r="E284" s="72" t="s">
        <v>190</v>
      </c>
      <c r="F284" s="216">
        <v>36000</v>
      </c>
      <c r="G284" s="216">
        <f t="shared" si="140"/>
        <v>1033.2</v>
      </c>
      <c r="H284" s="216">
        <f t="shared" si="141"/>
        <v>1094.4000000000001</v>
      </c>
      <c r="I284" s="216"/>
      <c r="J284" s="215">
        <f t="shared" si="96"/>
        <v>2127.6000000000004</v>
      </c>
      <c r="K284" s="215">
        <f t="shared" si="142"/>
        <v>33872.400000000001</v>
      </c>
      <c r="L284" s="69">
        <f t="shared" si="137"/>
        <v>0</v>
      </c>
      <c r="M284" s="221">
        <v>4060.89</v>
      </c>
      <c r="N284" s="215">
        <f t="shared" si="138"/>
        <v>6188.49</v>
      </c>
      <c r="O284" s="221">
        <f t="shared" si="139"/>
        <v>29811.510000000002</v>
      </c>
    </row>
    <row r="285" spans="1:16" s="149" customFormat="1" ht="35.1" customHeight="1" x14ac:dyDescent="0.2">
      <c r="A285" s="73">
        <f t="shared" ref="A285:A296" si="143">+A284+1</f>
        <v>123</v>
      </c>
      <c r="B285" s="72" t="s">
        <v>61</v>
      </c>
      <c r="C285" s="73" t="s">
        <v>334</v>
      </c>
      <c r="D285" s="72" t="s">
        <v>25</v>
      </c>
      <c r="E285" s="72" t="s">
        <v>190</v>
      </c>
      <c r="F285" s="216">
        <v>36000</v>
      </c>
      <c r="G285" s="216">
        <f t="shared" si="140"/>
        <v>1033.2</v>
      </c>
      <c r="H285" s="216">
        <f t="shared" si="141"/>
        <v>1094.4000000000001</v>
      </c>
      <c r="I285" s="216"/>
      <c r="J285" s="215">
        <f t="shared" ref="J285:J295" si="144">+G285+H285+I285</f>
        <v>2127.6000000000004</v>
      </c>
      <c r="K285" s="215">
        <f t="shared" si="142"/>
        <v>33872.400000000001</v>
      </c>
      <c r="L285" s="69">
        <f t="shared" si="137"/>
        <v>0</v>
      </c>
      <c r="M285" s="221">
        <v>5083.78</v>
      </c>
      <c r="N285" s="215">
        <f t="shared" si="138"/>
        <v>7211.38</v>
      </c>
      <c r="O285" s="221">
        <f t="shared" si="139"/>
        <v>28788.62</v>
      </c>
    </row>
    <row r="286" spans="1:16" s="149" customFormat="1" ht="35.1" customHeight="1" x14ac:dyDescent="0.2">
      <c r="A286" s="73">
        <f t="shared" si="143"/>
        <v>124</v>
      </c>
      <c r="B286" s="72" t="s">
        <v>26</v>
      </c>
      <c r="C286" s="73" t="s">
        <v>334</v>
      </c>
      <c r="D286" s="72" t="s">
        <v>25</v>
      </c>
      <c r="E286" s="72" t="s">
        <v>190</v>
      </c>
      <c r="F286" s="216">
        <v>36000</v>
      </c>
      <c r="G286" s="216">
        <f t="shared" si="140"/>
        <v>1033.2</v>
      </c>
      <c r="H286" s="216">
        <f t="shared" si="141"/>
        <v>1094.4000000000001</v>
      </c>
      <c r="I286" s="216"/>
      <c r="J286" s="215">
        <f t="shared" si="144"/>
        <v>2127.6000000000004</v>
      </c>
      <c r="K286" s="215">
        <f t="shared" si="142"/>
        <v>33872.400000000001</v>
      </c>
      <c r="L286" s="69">
        <f t="shared" si="137"/>
        <v>0</v>
      </c>
      <c r="M286" s="221">
        <v>765</v>
      </c>
      <c r="N286" s="215">
        <f t="shared" si="138"/>
        <v>2892.6000000000004</v>
      </c>
      <c r="O286" s="221">
        <f t="shared" si="139"/>
        <v>33107.4</v>
      </c>
    </row>
    <row r="287" spans="1:16" s="149" customFormat="1" ht="35.1" customHeight="1" x14ac:dyDescent="0.2">
      <c r="A287" s="73">
        <f t="shared" si="143"/>
        <v>125</v>
      </c>
      <c r="B287" s="72" t="s">
        <v>107</v>
      </c>
      <c r="C287" s="73" t="s">
        <v>334</v>
      </c>
      <c r="D287" s="88" t="s">
        <v>109</v>
      </c>
      <c r="E287" s="72" t="s">
        <v>190</v>
      </c>
      <c r="F287" s="216">
        <v>35000</v>
      </c>
      <c r="G287" s="216">
        <f>F287*2.87%</f>
        <v>1004.5</v>
      </c>
      <c r="H287" s="216">
        <f>+F287*3.04%</f>
        <v>1064</v>
      </c>
      <c r="I287" s="216"/>
      <c r="J287" s="215">
        <f t="shared" si="144"/>
        <v>2068.5</v>
      </c>
      <c r="K287" s="215">
        <f t="shared" si="142"/>
        <v>32931.5</v>
      </c>
      <c r="L287" s="69">
        <f t="shared" si="137"/>
        <v>0</v>
      </c>
      <c r="M287" s="221">
        <v>25</v>
      </c>
      <c r="N287" s="215">
        <f t="shared" si="138"/>
        <v>2093.5</v>
      </c>
      <c r="O287" s="221">
        <f t="shared" si="139"/>
        <v>32906.5</v>
      </c>
    </row>
    <row r="288" spans="1:16" s="149" customFormat="1" ht="35.1" customHeight="1" x14ac:dyDescent="0.2">
      <c r="A288" s="73">
        <f>+A287+1</f>
        <v>126</v>
      </c>
      <c r="B288" s="72" t="s">
        <v>272</v>
      </c>
      <c r="C288" s="73" t="s">
        <v>334</v>
      </c>
      <c r="D288" s="88" t="s">
        <v>114</v>
      </c>
      <c r="E288" s="72" t="s">
        <v>190</v>
      </c>
      <c r="F288" s="216">
        <v>36000</v>
      </c>
      <c r="G288" s="216">
        <f t="shared" si="140"/>
        <v>1033.2</v>
      </c>
      <c r="H288" s="216">
        <f t="shared" si="141"/>
        <v>1094.4000000000001</v>
      </c>
      <c r="I288" s="216">
        <v>1919.78</v>
      </c>
      <c r="J288" s="215">
        <f t="shared" si="144"/>
        <v>4047.38</v>
      </c>
      <c r="K288" s="215">
        <f t="shared" si="142"/>
        <v>31952.62</v>
      </c>
      <c r="L288" s="69">
        <f t="shared" si="137"/>
        <v>0</v>
      </c>
      <c r="M288" s="221">
        <v>2290.29</v>
      </c>
      <c r="N288" s="215">
        <f t="shared" si="138"/>
        <v>6337.6699999999992</v>
      </c>
      <c r="O288" s="221">
        <f t="shared" si="139"/>
        <v>29662.33</v>
      </c>
    </row>
    <row r="289" spans="1:15" s="149" customFormat="1" ht="35.1" customHeight="1" x14ac:dyDescent="0.2">
      <c r="A289" s="73">
        <f t="shared" si="143"/>
        <v>127</v>
      </c>
      <c r="B289" s="72" t="s">
        <v>271</v>
      </c>
      <c r="C289" s="73" t="s">
        <v>334</v>
      </c>
      <c r="D289" s="72" t="s">
        <v>114</v>
      </c>
      <c r="E289" s="72" t="s">
        <v>190</v>
      </c>
      <c r="F289" s="216">
        <v>36000</v>
      </c>
      <c r="G289" s="216">
        <f t="shared" ref="G289:G292" si="145">F289*2.87%</f>
        <v>1033.2</v>
      </c>
      <c r="H289" s="216">
        <f t="shared" ref="H289:H292" si="146">+F289*3.04%</f>
        <v>1094.4000000000001</v>
      </c>
      <c r="I289" s="216"/>
      <c r="J289" s="215">
        <f t="shared" si="144"/>
        <v>2127.6000000000004</v>
      </c>
      <c r="K289" s="215">
        <f t="shared" si="142"/>
        <v>33872.400000000001</v>
      </c>
      <c r="L289" s="69">
        <f t="shared" si="137"/>
        <v>0</v>
      </c>
      <c r="M289" s="221">
        <v>1290.29</v>
      </c>
      <c r="N289" s="215">
        <f t="shared" si="138"/>
        <v>3417.8900000000003</v>
      </c>
      <c r="O289" s="221">
        <f t="shared" si="139"/>
        <v>32582.11</v>
      </c>
    </row>
    <row r="290" spans="1:15" s="219" customFormat="1" ht="35.1" customHeight="1" x14ac:dyDescent="0.2">
      <c r="A290" s="73">
        <f t="shared" si="143"/>
        <v>128</v>
      </c>
      <c r="B290" s="72" t="s">
        <v>273</v>
      </c>
      <c r="C290" s="73" t="s">
        <v>334</v>
      </c>
      <c r="D290" s="88" t="s">
        <v>109</v>
      </c>
      <c r="E290" s="72" t="s">
        <v>190</v>
      </c>
      <c r="F290" s="216">
        <v>35000</v>
      </c>
      <c r="G290" s="216">
        <f t="shared" si="145"/>
        <v>1004.5</v>
      </c>
      <c r="H290" s="216">
        <f t="shared" si="146"/>
        <v>1064</v>
      </c>
      <c r="I290" s="216"/>
      <c r="J290" s="215">
        <f>+G290+H290+I290</f>
        <v>2068.5</v>
      </c>
      <c r="K290" s="215">
        <f t="shared" si="142"/>
        <v>32931.5</v>
      </c>
      <c r="L290" s="69">
        <f t="shared" si="137"/>
        <v>0</v>
      </c>
      <c r="M290" s="221">
        <v>25</v>
      </c>
      <c r="N290" s="215">
        <f t="shared" si="138"/>
        <v>2093.5</v>
      </c>
      <c r="O290" s="221">
        <f t="shared" si="139"/>
        <v>32906.5</v>
      </c>
    </row>
    <row r="291" spans="1:15" s="148" customFormat="1" ht="35.1" customHeight="1" x14ac:dyDescent="0.2">
      <c r="A291" s="73">
        <f t="shared" si="143"/>
        <v>129</v>
      </c>
      <c r="B291" s="72" t="s">
        <v>369</v>
      </c>
      <c r="C291" s="73" t="s">
        <v>334</v>
      </c>
      <c r="D291" s="88" t="s">
        <v>370</v>
      </c>
      <c r="E291" s="72" t="s">
        <v>190</v>
      </c>
      <c r="F291" s="216">
        <v>36000</v>
      </c>
      <c r="G291" s="216">
        <f t="shared" si="145"/>
        <v>1033.2</v>
      </c>
      <c r="H291" s="216">
        <f t="shared" si="146"/>
        <v>1094.4000000000001</v>
      </c>
      <c r="I291" s="216">
        <v>1919.78</v>
      </c>
      <c r="J291" s="215">
        <f>+G291+H291+I291</f>
        <v>4047.38</v>
      </c>
      <c r="K291" s="215">
        <f t="shared" si="142"/>
        <v>31952.62</v>
      </c>
      <c r="L291" s="69">
        <f t="shared" si="137"/>
        <v>0</v>
      </c>
      <c r="M291" s="221">
        <v>6435.05</v>
      </c>
      <c r="N291" s="215">
        <f t="shared" si="138"/>
        <v>10482.43</v>
      </c>
      <c r="O291" s="221">
        <f t="shared" si="139"/>
        <v>25517.57</v>
      </c>
    </row>
    <row r="292" spans="1:15" s="219" customFormat="1" ht="35.1" customHeight="1" x14ac:dyDescent="0.2">
      <c r="A292" s="73">
        <f t="shared" si="143"/>
        <v>130</v>
      </c>
      <c r="B292" s="72" t="s">
        <v>412</v>
      </c>
      <c r="C292" s="73" t="s">
        <v>334</v>
      </c>
      <c r="D292" s="72" t="s">
        <v>109</v>
      </c>
      <c r="E292" s="72" t="s">
        <v>190</v>
      </c>
      <c r="F292" s="216">
        <v>36000</v>
      </c>
      <c r="G292" s="216">
        <f t="shared" si="145"/>
        <v>1033.2</v>
      </c>
      <c r="H292" s="216">
        <f t="shared" si="146"/>
        <v>1094.4000000000001</v>
      </c>
      <c r="I292" s="216"/>
      <c r="J292" s="215">
        <f>+G292+H292+I292</f>
        <v>2127.6000000000004</v>
      </c>
      <c r="K292" s="215">
        <f t="shared" si="142"/>
        <v>33872.400000000001</v>
      </c>
      <c r="L292" s="69">
        <f t="shared" si="137"/>
        <v>0</v>
      </c>
      <c r="M292" s="221">
        <v>3330.29</v>
      </c>
      <c r="N292" s="215">
        <f t="shared" si="138"/>
        <v>5457.89</v>
      </c>
      <c r="O292" s="221">
        <f t="shared" si="139"/>
        <v>30542.11</v>
      </c>
    </row>
    <row r="293" spans="1:15" s="219" customFormat="1" ht="35.1" customHeight="1" x14ac:dyDescent="0.2">
      <c r="A293" s="73">
        <f>+A292+1</f>
        <v>131</v>
      </c>
      <c r="B293" s="72" t="s">
        <v>276</v>
      </c>
      <c r="C293" s="73" t="s">
        <v>334</v>
      </c>
      <c r="D293" s="88" t="s">
        <v>370</v>
      </c>
      <c r="E293" s="72" t="s">
        <v>97</v>
      </c>
      <c r="F293" s="216">
        <v>32000</v>
      </c>
      <c r="G293" s="216">
        <f>F293*2.87%</f>
        <v>918.4</v>
      </c>
      <c r="H293" s="216">
        <f>+F293*3.04%</f>
        <v>972.8</v>
      </c>
      <c r="I293" s="216"/>
      <c r="J293" s="215">
        <f>+G293+H293+I293</f>
        <v>1891.1999999999998</v>
      </c>
      <c r="K293" s="215">
        <f>+F293-J293</f>
        <v>30108.799999999999</v>
      </c>
      <c r="L293" s="69">
        <f t="shared" si="137"/>
        <v>0</v>
      </c>
      <c r="M293" s="221">
        <v>65</v>
      </c>
      <c r="N293" s="215">
        <f t="shared" si="138"/>
        <v>1956.1999999999998</v>
      </c>
      <c r="O293" s="221">
        <f t="shared" si="139"/>
        <v>30043.8</v>
      </c>
    </row>
    <row r="294" spans="1:15" s="219" customFormat="1" ht="35.1" customHeight="1" x14ac:dyDescent="0.2">
      <c r="A294" s="73">
        <f>+A293+1</f>
        <v>132</v>
      </c>
      <c r="B294" s="72" t="s">
        <v>518</v>
      </c>
      <c r="C294" s="73" t="s">
        <v>334</v>
      </c>
      <c r="D294" s="88" t="s">
        <v>109</v>
      </c>
      <c r="E294" s="72" t="s">
        <v>190</v>
      </c>
      <c r="F294" s="216">
        <v>30000</v>
      </c>
      <c r="G294" s="216">
        <f t="shared" ref="G294:G302" si="147">F294*2.87%</f>
        <v>861</v>
      </c>
      <c r="H294" s="216">
        <f t="shared" si="141"/>
        <v>912</v>
      </c>
      <c r="I294" s="216"/>
      <c r="J294" s="215">
        <f t="shared" si="144"/>
        <v>1773</v>
      </c>
      <c r="K294" s="215">
        <f t="shared" si="142"/>
        <v>28227</v>
      </c>
      <c r="L294" s="69">
        <f t="shared" si="137"/>
        <v>0</v>
      </c>
      <c r="M294" s="221">
        <v>5490.43</v>
      </c>
      <c r="N294" s="215">
        <f t="shared" si="138"/>
        <v>7263.43</v>
      </c>
      <c r="O294" s="221">
        <f t="shared" si="139"/>
        <v>22736.57</v>
      </c>
    </row>
    <row r="295" spans="1:15" s="219" customFormat="1" ht="35.1" customHeight="1" x14ac:dyDescent="0.2">
      <c r="A295" s="73">
        <f>+A294+1</f>
        <v>133</v>
      </c>
      <c r="B295" s="72" t="s">
        <v>519</v>
      </c>
      <c r="C295" s="73" t="s">
        <v>334</v>
      </c>
      <c r="D295" s="88" t="s">
        <v>109</v>
      </c>
      <c r="E295" s="72" t="s">
        <v>190</v>
      </c>
      <c r="F295" s="216">
        <v>36000</v>
      </c>
      <c r="G295" s="216">
        <f t="shared" si="147"/>
        <v>1033.2</v>
      </c>
      <c r="H295" s="216">
        <f t="shared" si="141"/>
        <v>1094.4000000000001</v>
      </c>
      <c r="I295" s="216"/>
      <c r="J295" s="215">
        <f t="shared" si="144"/>
        <v>2127.6000000000004</v>
      </c>
      <c r="K295" s="215">
        <f t="shared" si="142"/>
        <v>33872.400000000001</v>
      </c>
      <c r="L295" s="69">
        <f t="shared" si="137"/>
        <v>0</v>
      </c>
      <c r="M295" s="221">
        <v>4352.08</v>
      </c>
      <c r="N295" s="215">
        <f t="shared" si="138"/>
        <v>6479.6799999999994</v>
      </c>
      <c r="O295" s="221">
        <f t="shared" si="139"/>
        <v>29520.32</v>
      </c>
    </row>
    <row r="296" spans="1:15" s="219" customFormat="1" ht="35.1" customHeight="1" x14ac:dyDescent="0.2">
      <c r="A296" s="73">
        <f t="shared" si="143"/>
        <v>134</v>
      </c>
      <c r="B296" s="259" t="s">
        <v>484</v>
      </c>
      <c r="C296" s="73" t="s">
        <v>334</v>
      </c>
      <c r="D296" s="72" t="s">
        <v>109</v>
      </c>
      <c r="E296" s="72" t="s">
        <v>190</v>
      </c>
      <c r="F296" s="216">
        <v>36000</v>
      </c>
      <c r="G296" s="216">
        <f t="shared" si="147"/>
        <v>1033.2</v>
      </c>
      <c r="H296" s="216">
        <f>+F296*3.04%</f>
        <v>1094.4000000000001</v>
      </c>
      <c r="I296" s="216"/>
      <c r="J296" s="215">
        <f>+G296+H296+I296</f>
        <v>2127.6000000000004</v>
      </c>
      <c r="K296" s="215">
        <f t="shared" si="142"/>
        <v>33872.400000000001</v>
      </c>
      <c r="L296" s="69">
        <f t="shared" si="137"/>
        <v>0</v>
      </c>
      <c r="M296" s="221">
        <v>1290.29</v>
      </c>
      <c r="N296" s="215">
        <f t="shared" si="138"/>
        <v>3417.8900000000003</v>
      </c>
      <c r="O296" s="221">
        <f t="shared" si="139"/>
        <v>32582.11</v>
      </c>
    </row>
    <row r="297" spans="1:15" s="219" customFormat="1" ht="35.1" customHeight="1" x14ac:dyDescent="0.2">
      <c r="A297" s="73">
        <f t="shared" ref="A297:A302" si="148">+A296+1</f>
        <v>135</v>
      </c>
      <c r="B297" s="259" t="s">
        <v>549</v>
      </c>
      <c r="C297" s="73" t="s">
        <v>334</v>
      </c>
      <c r="D297" s="72" t="s">
        <v>109</v>
      </c>
      <c r="E297" s="72" t="s">
        <v>190</v>
      </c>
      <c r="F297" s="216">
        <v>30000</v>
      </c>
      <c r="G297" s="216">
        <f t="shared" si="147"/>
        <v>861</v>
      </c>
      <c r="H297" s="216">
        <f>+F297*3.04%</f>
        <v>912</v>
      </c>
      <c r="I297" s="216"/>
      <c r="J297" s="215">
        <f>+G297+H297+I297</f>
        <v>1773</v>
      </c>
      <c r="K297" s="215">
        <f t="shared" si="142"/>
        <v>28227</v>
      </c>
      <c r="L297" s="69">
        <f t="shared" si="137"/>
        <v>0</v>
      </c>
      <c r="M297" s="221">
        <v>2703.67</v>
      </c>
      <c r="N297" s="215">
        <f t="shared" si="138"/>
        <v>4476.67</v>
      </c>
      <c r="O297" s="221">
        <f t="shared" si="139"/>
        <v>25523.33</v>
      </c>
    </row>
    <row r="298" spans="1:15" s="219" customFormat="1" ht="35.1" customHeight="1" x14ac:dyDescent="0.2">
      <c r="A298" s="300">
        <f t="shared" si="148"/>
        <v>136</v>
      </c>
      <c r="B298" s="72" t="s">
        <v>516</v>
      </c>
      <c r="C298" s="73" t="s">
        <v>334</v>
      </c>
      <c r="D298" s="72" t="s">
        <v>109</v>
      </c>
      <c r="E298" s="72" t="s">
        <v>190</v>
      </c>
      <c r="F298" s="216">
        <v>36000</v>
      </c>
      <c r="G298" s="216">
        <f t="shared" si="147"/>
        <v>1033.2</v>
      </c>
      <c r="H298" s="216">
        <f t="shared" ref="H298:H302" si="149">+F298*3.04%</f>
        <v>1094.4000000000001</v>
      </c>
      <c r="I298" s="216"/>
      <c r="J298" s="215">
        <f t="shared" ref="J298:J302" si="150">+G298+H298+I298</f>
        <v>2127.6000000000004</v>
      </c>
      <c r="K298" s="215">
        <f t="shared" si="142"/>
        <v>33872.400000000001</v>
      </c>
      <c r="L298" s="69">
        <f t="shared" si="137"/>
        <v>0</v>
      </c>
      <c r="M298" s="221">
        <v>225</v>
      </c>
      <c r="N298" s="215">
        <f t="shared" si="138"/>
        <v>2352.6000000000004</v>
      </c>
      <c r="O298" s="217">
        <f t="shared" si="139"/>
        <v>33647.4</v>
      </c>
    </row>
    <row r="299" spans="1:15" s="218" customFormat="1" ht="35.1" customHeight="1" x14ac:dyDescent="0.2">
      <c r="A299" s="300">
        <f t="shared" si="148"/>
        <v>137</v>
      </c>
      <c r="B299" s="72" t="s">
        <v>573</v>
      </c>
      <c r="C299" s="73" t="s">
        <v>334</v>
      </c>
      <c r="D299" s="72" t="s">
        <v>109</v>
      </c>
      <c r="E299" s="72" t="s">
        <v>190</v>
      </c>
      <c r="F299" s="216">
        <v>30000</v>
      </c>
      <c r="G299" s="216">
        <f t="shared" si="147"/>
        <v>861</v>
      </c>
      <c r="H299" s="216">
        <f t="shared" si="149"/>
        <v>912</v>
      </c>
      <c r="I299" s="216"/>
      <c r="J299" s="215">
        <f t="shared" si="150"/>
        <v>1773</v>
      </c>
      <c r="K299" s="215">
        <f t="shared" si="142"/>
        <v>28227</v>
      </c>
      <c r="L299" s="69">
        <f t="shared" si="137"/>
        <v>0</v>
      </c>
      <c r="M299" s="221">
        <v>2880.08</v>
      </c>
      <c r="N299" s="215">
        <f t="shared" si="138"/>
        <v>4653.08</v>
      </c>
      <c r="O299" s="217">
        <f t="shared" si="139"/>
        <v>25346.92</v>
      </c>
    </row>
    <row r="300" spans="1:15" s="218" customFormat="1" ht="35.1" customHeight="1" x14ac:dyDescent="0.2">
      <c r="A300" s="300">
        <f t="shared" si="148"/>
        <v>138</v>
      </c>
      <c r="B300" s="72" t="s">
        <v>589</v>
      </c>
      <c r="C300" s="73" t="s">
        <v>334</v>
      </c>
      <c r="D300" s="72" t="s">
        <v>109</v>
      </c>
      <c r="E300" s="72" t="s">
        <v>190</v>
      </c>
      <c r="F300" s="216">
        <v>30000</v>
      </c>
      <c r="G300" s="216">
        <f t="shared" si="147"/>
        <v>861</v>
      </c>
      <c r="H300" s="216">
        <f t="shared" si="149"/>
        <v>912</v>
      </c>
      <c r="I300" s="216"/>
      <c r="J300" s="215">
        <f t="shared" si="150"/>
        <v>1773</v>
      </c>
      <c r="K300" s="215">
        <f t="shared" si="142"/>
        <v>28227</v>
      </c>
      <c r="L300" s="69">
        <f t="shared" si="137"/>
        <v>0</v>
      </c>
      <c r="M300" s="221">
        <v>25</v>
      </c>
      <c r="N300" s="215">
        <f t="shared" si="138"/>
        <v>1798</v>
      </c>
      <c r="O300" s="217">
        <f t="shared" si="139"/>
        <v>28202</v>
      </c>
    </row>
    <row r="301" spans="1:15" s="218" customFormat="1" ht="35.1" customHeight="1" x14ac:dyDescent="0.2">
      <c r="A301" s="300">
        <f t="shared" si="148"/>
        <v>139</v>
      </c>
      <c r="B301" s="72" t="s">
        <v>590</v>
      </c>
      <c r="C301" s="73" t="s">
        <v>334</v>
      </c>
      <c r="D301" s="72" t="s">
        <v>109</v>
      </c>
      <c r="E301" s="72" t="s">
        <v>190</v>
      </c>
      <c r="F301" s="216">
        <v>30000</v>
      </c>
      <c r="G301" s="216">
        <f t="shared" si="147"/>
        <v>861</v>
      </c>
      <c r="H301" s="216">
        <f t="shared" si="149"/>
        <v>912</v>
      </c>
      <c r="I301" s="216"/>
      <c r="J301" s="215">
        <f t="shared" si="150"/>
        <v>1773</v>
      </c>
      <c r="K301" s="215">
        <f t="shared" si="142"/>
        <v>28227</v>
      </c>
      <c r="L301" s="69">
        <f t="shared" si="137"/>
        <v>0</v>
      </c>
      <c r="M301" s="221">
        <v>2590.29</v>
      </c>
      <c r="N301" s="215">
        <f t="shared" si="138"/>
        <v>4363.29</v>
      </c>
      <c r="O301" s="217">
        <f t="shared" si="139"/>
        <v>25636.71</v>
      </c>
    </row>
    <row r="302" spans="1:15" s="218" customFormat="1" ht="35.1" customHeight="1" x14ac:dyDescent="0.2">
      <c r="A302" s="300">
        <f t="shared" si="148"/>
        <v>140</v>
      </c>
      <c r="B302" s="72" t="s">
        <v>601</v>
      </c>
      <c r="C302" s="73" t="s">
        <v>334</v>
      </c>
      <c r="D302" s="72" t="s">
        <v>109</v>
      </c>
      <c r="E302" s="72" t="s">
        <v>190</v>
      </c>
      <c r="F302" s="216">
        <v>30000</v>
      </c>
      <c r="G302" s="216">
        <f t="shared" si="147"/>
        <v>861</v>
      </c>
      <c r="H302" s="216">
        <f t="shared" si="149"/>
        <v>912</v>
      </c>
      <c r="I302" s="216"/>
      <c r="J302" s="215">
        <f t="shared" si="150"/>
        <v>1773</v>
      </c>
      <c r="K302" s="215">
        <f t="shared" si="142"/>
        <v>28227</v>
      </c>
      <c r="L302" s="69">
        <f t="shared" si="137"/>
        <v>0</v>
      </c>
      <c r="M302" s="221">
        <v>590.29</v>
      </c>
      <c r="N302" s="215">
        <f t="shared" si="138"/>
        <v>2363.29</v>
      </c>
      <c r="O302" s="217">
        <f t="shared" si="139"/>
        <v>27636.71</v>
      </c>
    </row>
    <row r="303" spans="1:15" s="218" customFormat="1" ht="35.1" customHeight="1" x14ac:dyDescent="0.2">
      <c r="A303" s="235">
        <f>+A302+1</f>
        <v>141</v>
      </c>
      <c r="B303" s="72" t="s">
        <v>175</v>
      </c>
      <c r="C303" s="235" t="s">
        <v>334</v>
      </c>
      <c r="D303" s="72" t="s">
        <v>109</v>
      </c>
      <c r="E303" s="238" t="s">
        <v>190</v>
      </c>
      <c r="F303" s="68">
        <v>30000</v>
      </c>
      <c r="G303" s="68">
        <f>F303*2.87%</f>
        <v>861</v>
      </c>
      <c r="H303" s="68">
        <f>+F303*3.04%</f>
        <v>912</v>
      </c>
      <c r="I303" s="68">
        <v>1919.78</v>
      </c>
      <c r="J303" s="69">
        <f>+G303+H303+I303</f>
        <v>3692.7799999999997</v>
      </c>
      <c r="K303" s="69">
        <f>+F303-J303</f>
        <v>26307.22</v>
      </c>
      <c r="L303" s="69">
        <f t="shared" si="137"/>
        <v>0</v>
      </c>
      <c r="M303" s="221">
        <v>4783.01</v>
      </c>
      <c r="N303" s="215">
        <f t="shared" si="138"/>
        <v>8475.7900000000009</v>
      </c>
      <c r="O303" s="234">
        <f t="shared" si="139"/>
        <v>21524.21</v>
      </c>
    </row>
    <row r="304" spans="1:15" s="218" customFormat="1" ht="35.1" customHeight="1" x14ac:dyDescent="0.2">
      <c r="A304" s="235">
        <f>+A303+1</f>
        <v>142</v>
      </c>
      <c r="B304" s="72" t="s">
        <v>659</v>
      </c>
      <c r="C304" s="235" t="s">
        <v>334</v>
      </c>
      <c r="D304" s="72" t="s">
        <v>109</v>
      </c>
      <c r="E304" s="238" t="s">
        <v>190</v>
      </c>
      <c r="F304" s="68">
        <v>30000</v>
      </c>
      <c r="G304" s="68">
        <f>F304*2.87%</f>
        <v>861</v>
      </c>
      <c r="H304" s="68">
        <f>+F304*3.04%</f>
        <v>912</v>
      </c>
      <c r="I304" s="68"/>
      <c r="J304" s="69">
        <f t="shared" ref="J304:J305" si="151">+G304+H304+I304</f>
        <v>1773</v>
      </c>
      <c r="K304" s="69">
        <f t="shared" ref="K304:K305" si="152">+F304-J304</f>
        <v>28227</v>
      </c>
      <c r="L304" s="69">
        <f t="shared" si="137"/>
        <v>0</v>
      </c>
      <c r="M304" s="221">
        <v>25</v>
      </c>
      <c r="N304" s="215">
        <f t="shared" si="138"/>
        <v>1798</v>
      </c>
      <c r="O304" s="234">
        <f t="shared" si="139"/>
        <v>28202</v>
      </c>
    </row>
    <row r="305" spans="1:16" s="218" customFormat="1" ht="35.1" customHeight="1" x14ac:dyDescent="0.2">
      <c r="A305" s="235">
        <f>+A304+1</f>
        <v>143</v>
      </c>
      <c r="B305" s="72" t="s">
        <v>660</v>
      </c>
      <c r="C305" s="235" t="s">
        <v>334</v>
      </c>
      <c r="D305" s="72" t="s">
        <v>109</v>
      </c>
      <c r="E305" s="238" t="s">
        <v>190</v>
      </c>
      <c r="F305" s="68">
        <v>30000</v>
      </c>
      <c r="G305" s="68">
        <f>F305*2.87%</f>
        <v>861</v>
      </c>
      <c r="H305" s="68">
        <f>+F305*3.04%</f>
        <v>912</v>
      </c>
      <c r="I305" s="68"/>
      <c r="J305" s="69">
        <f t="shared" si="151"/>
        <v>1773</v>
      </c>
      <c r="K305" s="69">
        <f t="shared" si="152"/>
        <v>28227</v>
      </c>
      <c r="L305" s="69">
        <f t="shared" si="137"/>
        <v>0</v>
      </c>
      <c r="M305" s="221">
        <v>25</v>
      </c>
      <c r="N305" s="215">
        <f t="shared" si="138"/>
        <v>1798</v>
      </c>
      <c r="O305" s="234">
        <f t="shared" si="139"/>
        <v>28202</v>
      </c>
    </row>
    <row r="306" spans="1:16" s="148" customFormat="1" ht="35.1" customHeight="1" x14ac:dyDescent="0.2">
      <c r="A306" s="223" t="s">
        <v>99</v>
      </c>
      <c r="B306" s="224"/>
      <c r="C306" s="224"/>
      <c r="D306" s="224"/>
      <c r="E306" s="239"/>
      <c r="F306" s="225">
        <f>SUM(F280:F305)</f>
        <v>926000</v>
      </c>
      <c r="G306" s="225">
        <f t="shared" ref="G306:O306" si="153">SUM(G280:G305)</f>
        <v>26576.200000000004</v>
      </c>
      <c r="H306" s="225">
        <f t="shared" si="153"/>
        <v>28150.400000000001</v>
      </c>
      <c r="I306" s="225">
        <f t="shared" si="153"/>
        <v>5759.34</v>
      </c>
      <c r="J306" s="225">
        <f t="shared" si="153"/>
        <v>60485.939999999995</v>
      </c>
      <c r="K306" s="225">
        <f t="shared" si="153"/>
        <v>865514.06</v>
      </c>
      <c r="L306" s="225">
        <f t="shared" si="153"/>
        <v>6973.2996666666659</v>
      </c>
      <c r="M306" s="225">
        <f t="shared" si="153"/>
        <v>51309.420000000006</v>
      </c>
      <c r="N306" s="225">
        <f t="shared" si="153"/>
        <v>118768.65966666664</v>
      </c>
      <c r="O306" s="225">
        <f t="shared" si="153"/>
        <v>807231.34033333324</v>
      </c>
      <c r="P306" s="339"/>
    </row>
    <row r="307" spans="1:16" s="148" customFormat="1" ht="35.1" customHeight="1" thickBot="1" x14ac:dyDescent="0.25">
      <c r="A307" s="146"/>
      <c r="B307" s="146"/>
      <c r="C307" s="146"/>
      <c r="D307" s="146"/>
      <c r="E307" s="146"/>
      <c r="F307" s="226"/>
      <c r="G307" s="226"/>
      <c r="H307" s="226"/>
      <c r="I307" s="226"/>
      <c r="J307" s="226"/>
      <c r="K307" s="226"/>
      <c r="L307" s="226"/>
      <c r="M307" s="226"/>
      <c r="N307" s="226"/>
      <c r="O307" s="226"/>
    </row>
    <row r="308" spans="1:16" s="148" customFormat="1" ht="35.1" customHeight="1" thickBot="1" x14ac:dyDescent="0.25">
      <c r="A308" s="229" t="s">
        <v>351</v>
      </c>
      <c r="B308" s="230"/>
      <c r="C308" s="230"/>
      <c r="D308" s="230"/>
      <c r="E308" s="230"/>
      <c r="F308" s="230"/>
      <c r="G308" s="230"/>
      <c r="H308" s="230"/>
      <c r="I308" s="230"/>
      <c r="J308" s="230"/>
      <c r="K308" s="230"/>
      <c r="L308" s="230"/>
      <c r="M308" s="230"/>
      <c r="N308" s="230"/>
      <c r="O308" s="230"/>
    </row>
    <row r="309" spans="1:16" s="148" customFormat="1" ht="35.1" customHeight="1" x14ac:dyDescent="0.2">
      <c r="A309" s="235">
        <f>+A303+1</f>
        <v>142</v>
      </c>
      <c r="B309" s="72" t="s">
        <v>319</v>
      </c>
      <c r="C309" s="73" t="s">
        <v>335</v>
      </c>
      <c r="D309" s="88" t="s">
        <v>187</v>
      </c>
      <c r="E309" s="238" t="s">
        <v>97</v>
      </c>
      <c r="F309" s="68">
        <v>95000</v>
      </c>
      <c r="G309" s="68">
        <f t="shared" ref="G309" si="154">F309*2.87%</f>
        <v>2726.5</v>
      </c>
      <c r="H309" s="68">
        <f t="shared" ref="H309" si="155">+F309*3.04%</f>
        <v>2888</v>
      </c>
      <c r="I309" s="216">
        <f>1919.78*2</f>
        <v>3839.56</v>
      </c>
      <c r="J309" s="69">
        <f>+G309+H309+I309</f>
        <v>9454.06</v>
      </c>
      <c r="K309" s="69">
        <f>+F309-J309</f>
        <v>85545.94</v>
      </c>
      <c r="L309" s="69">
        <f t="shared" ref="L309" si="156">+IF(K309*12&lt;=416220.01,0,IF(K309*12&lt;=624329.01,(((K309*12-416220.01)*0.15)/12),IF((K309*12&lt;=867123.01),(31216+0.2*(K309*12-624329.01))/12,((79776+0.25*(K309*12-867123.01))/12))))</f>
        <v>9969.4222916666677</v>
      </c>
      <c r="M309" s="69">
        <v>2090.29</v>
      </c>
      <c r="N309" s="215">
        <f>+M309+I309+H309+G309+L309</f>
        <v>21513.772291666668</v>
      </c>
      <c r="O309" s="234">
        <f>+F309-N309</f>
        <v>73486.227708333332</v>
      </c>
    </row>
    <row r="310" spans="1:16" s="148" customFormat="1" ht="35.1" customHeight="1" x14ac:dyDescent="0.2">
      <c r="A310" s="223" t="s">
        <v>99</v>
      </c>
      <c r="B310" s="224"/>
      <c r="C310" s="224"/>
      <c r="D310" s="224"/>
      <c r="E310" s="239"/>
      <c r="F310" s="225">
        <f t="shared" ref="F310:L310" si="157">SUM(F309:F309)</f>
        <v>95000</v>
      </c>
      <c r="G310" s="225">
        <f t="shared" si="157"/>
        <v>2726.5</v>
      </c>
      <c r="H310" s="225">
        <f t="shared" si="157"/>
        <v>2888</v>
      </c>
      <c r="I310" s="225">
        <f t="shared" si="157"/>
        <v>3839.56</v>
      </c>
      <c r="J310" s="225">
        <f t="shared" si="157"/>
        <v>9454.06</v>
      </c>
      <c r="K310" s="225">
        <f t="shared" si="157"/>
        <v>85545.94</v>
      </c>
      <c r="L310" s="225">
        <f t="shared" si="157"/>
        <v>9969.4222916666677</v>
      </c>
      <c r="M310" s="225">
        <f>SUM(M309:M309)</f>
        <v>2090.29</v>
      </c>
      <c r="N310" s="225">
        <f>SUM(N309:N309)</f>
        <v>21513.772291666668</v>
      </c>
      <c r="O310" s="225">
        <f>SUM(O309:O309)</f>
        <v>73486.227708333332</v>
      </c>
    </row>
    <row r="311" spans="1:16" s="219" customFormat="1" ht="35.1" customHeight="1" thickBot="1" x14ac:dyDescent="0.25">
      <c r="A311" s="146"/>
      <c r="B311" s="146"/>
      <c r="C311" s="146"/>
      <c r="D311" s="146"/>
      <c r="E311" s="146"/>
      <c r="F311" s="218"/>
      <c r="G311" s="218"/>
      <c r="H311" s="218"/>
      <c r="I311" s="218"/>
      <c r="J311" s="218"/>
      <c r="K311" s="218"/>
      <c r="L311" s="218"/>
      <c r="M311" s="218"/>
      <c r="N311" s="218"/>
      <c r="O311" s="218"/>
    </row>
    <row r="312" spans="1:16" s="219" customFormat="1" ht="35.1" customHeight="1" thickBot="1" x14ac:dyDescent="0.25">
      <c r="A312" s="229" t="s">
        <v>173</v>
      </c>
      <c r="B312" s="230"/>
      <c r="C312" s="230"/>
      <c r="D312" s="230"/>
      <c r="E312" s="230"/>
      <c r="F312" s="230"/>
      <c r="G312" s="230"/>
      <c r="H312" s="230"/>
      <c r="I312" s="230"/>
      <c r="J312" s="230"/>
      <c r="K312" s="230"/>
      <c r="L312" s="230"/>
      <c r="M312" s="230"/>
      <c r="N312" s="230"/>
      <c r="O312" s="230"/>
    </row>
    <row r="313" spans="1:16" s="274" customFormat="1" ht="35.1" customHeight="1" x14ac:dyDescent="0.2">
      <c r="A313" s="235">
        <f>+A309+1</f>
        <v>143</v>
      </c>
      <c r="B313" s="72" t="s">
        <v>63</v>
      </c>
      <c r="C313" s="73" t="s">
        <v>334</v>
      </c>
      <c r="D313" s="72" t="s">
        <v>82</v>
      </c>
      <c r="E313" s="72" t="s">
        <v>96</v>
      </c>
      <c r="F313" s="216">
        <v>60000</v>
      </c>
      <c r="G313" s="68">
        <f>F313*2.87%</f>
        <v>1722</v>
      </c>
      <c r="H313" s="68">
        <f>+F313*3.04%</f>
        <v>1824</v>
      </c>
      <c r="I313" s="68">
        <v>1919.78</v>
      </c>
      <c r="J313" s="69">
        <f>+G313+H313+I313</f>
        <v>5465.78</v>
      </c>
      <c r="K313" s="69">
        <f>+F313-J313</f>
        <v>54534.22</v>
      </c>
      <c r="L313" s="69">
        <f t="shared" ref="L313:L314" si="158">+IF(K313*12&lt;=416220.01,0,IF(K313*12&lt;=624329.01,(((K313*12-416220.01)*0.15)/12),IF((K313*12&lt;=867123.01),(31216+0.2*(K313*12-624329.01))/12,((79776+0.25*(K313*12-867123.01))/12))))</f>
        <v>3102.6938333333333</v>
      </c>
      <c r="M313" s="215">
        <v>25</v>
      </c>
      <c r="N313" s="215">
        <f>+M313+I313+H313+G313+L313</f>
        <v>8593.4738333333335</v>
      </c>
      <c r="O313" s="234">
        <f>+F313-N313</f>
        <v>51406.526166666663</v>
      </c>
    </row>
    <row r="314" spans="1:16" s="219" customFormat="1" ht="35.1" customHeight="1" x14ac:dyDescent="0.2">
      <c r="A314" s="235">
        <f>+A313+1</f>
        <v>144</v>
      </c>
      <c r="B314" s="72" t="s">
        <v>277</v>
      </c>
      <c r="C314" s="73" t="s">
        <v>334</v>
      </c>
      <c r="D314" s="72" t="s">
        <v>13</v>
      </c>
      <c r="E314" s="72" t="s">
        <v>97</v>
      </c>
      <c r="F314" s="216">
        <v>40000</v>
      </c>
      <c r="G314" s="216">
        <f>F314*2.87%</f>
        <v>1148</v>
      </c>
      <c r="H314" s="68">
        <f>+F314*3.04%</f>
        <v>1216</v>
      </c>
      <c r="I314" s="68">
        <f>1919.78*2</f>
        <v>3839.56</v>
      </c>
      <c r="J314" s="69">
        <f>+G314+H314+I314</f>
        <v>6203.5599999999995</v>
      </c>
      <c r="K314" s="69">
        <f>+F314-J314</f>
        <v>33796.44</v>
      </c>
      <c r="L314" s="69">
        <f t="shared" si="158"/>
        <v>0</v>
      </c>
      <c r="M314" s="215">
        <v>11343.91</v>
      </c>
      <c r="N314" s="215">
        <f>+M314+I314+H314+G314+L314</f>
        <v>17547.47</v>
      </c>
      <c r="O314" s="234">
        <f>+F314-N314</f>
        <v>22452.53</v>
      </c>
    </row>
    <row r="315" spans="1:16" s="219" customFormat="1" ht="35.1" customHeight="1" x14ac:dyDescent="0.2">
      <c r="A315" s="223" t="s">
        <v>99</v>
      </c>
      <c r="B315" s="224"/>
      <c r="C315" s="224"/>
      <c r="D315" s="224"/>
      <c r="E315" s="239"/>
      <c r="F315" s="225">
        <f>SUM(F313:F314)</f>
        <v>100000</v>
      </c>
      <c r="G315" s="225">
        <f t="shared" ref="G315:O315" si="159">SUM(G313:G314)</f>
        <v>2870</v>
      </c>
      <c r="H315" s="225">
        <f t="shared" si="159"/>
        <v>3040</v>
      </c>
      <c r="I315" s="225">
        <f t="shared" si="159"/>
        <v>5759.34</v>
      </c>
      <c r="J315" s="225">
        <f t="shared" si="159"/>
        <v>11669.34</v>
      </c>
      <c r="K315" s="225">
        <f t="shared" si="159"/>
        <v>88330.66</v>
      </c>
      <c r="L315" s="225">
        <f t="shared" si="159"/>
        <v>3102.6938333333333</v>
      </c>
      <c r="M315" s="225">
        <f t="shared" si="159"/>
        <v>11368.91</v>
      </c>
      <c r="N315" s="225">
        <f t="shared" si="159"/>
        <v>26140.943833333335</v>
      </c>
      <c r="O315" s="225">
        <f t="shared" si="159"/>
        <v>73859.056166666662</v>
      </c>
      <c r="P315" s="339"/>
    </row>
    <row r="316" spans="1:16" s="219" customFormat="1" ht="35.1" customHeight="1" thickBot="1" x14ac:dyDescent="0.25">
      <c r="A316" s="146"/>
      <c r="B316" s="146"/>
      <c r="C316" s="146"/>
      <c r="D316" s="146"/>
      <c r="E316" s="146"/>
      <c r="F316" s="226"/>
      <c r="G316" s="226"/>
      <c r="H316" s="226"/>
      <c r="I316" s="226"/>
      <c r="J316" s="226"/>
      <c r="K316" s="226"/>
      <c r="L316" s="226"/>
      <c r="M316" s="226"/>
      <c r="N316" s="226"/>
      <c r="O316" s="226"/>
    </row>
    <row r="317" spans="1:16" s="219" customFormat="1" ht="35.1" customHeight="1" thickBot="1" x14ac:dyDescent="0.25">
      <c r="A317" s="229" t="s">
        <v>174</v>
      </c>
      <c r="B317" s="230"/>
      <c r="C317" s="230"/>
      <c r="D317" s="230"/>
      <c r="E317" s="230"/>
      <c r="F317" s="230"/>
      <c r="G317" s="230"/>
      <c r="H317" s="230"/>
      <c r="I317" s="230"/>
      <c r="J317" s="230"/>
      <c r="K317" s="230"/>
      <c r="L317" s="230"/>
      <c r="M317" s="230"/>
      <c r="N317" s="230"/>
      <c r="O317" s="230"/>
    </row>
    <row r="318" spans="1:16" s="219" customFormat="1" ht="35.1" customHeight="1" x14ac:dyDescent="0.2">
      <c r="A318" s="73">
        <f>+A314+1</f>
        <v>145</v>
      </c>
      <c r="B318" s="72" t="s">
        <v>58</v>
      </c>
      <c r="C318" s="73" t="s">
        <v>335</v>
      </c>
      <c r="D318" s="88" t="s">
        <v>562</v>
      </c>
      <c r="E318" s="72" t="s">
        <v>96</v>
      </c>
      <c r="F318" s="216">
        <v>110000</v>
      </c>
      <c r="G318" s="216">
        <f>F318*2.87%</f>
        <v>3157</v>
      </c>
      <c r="H318" s="68">
        <f>+F318*3.04%</f>
        <v>3344</v>
      </c>
      <c r="I318" s="68"/>
      <c r="J318" s="69">
        <f>+G318+H318+I318</f>
        <v>6501</v>
      </c>
      <c r="K318" s="69">
        <f>+F318-J318</f>
        <v>103499</v>
      </c>
      <c r="L318" s="69">
        <f t="shared" ref="L318" si="160">+IF(K318*12&lt;=416220.01,0,IF(K318*12&lt;=624329.01,(((K318*12-416220.01)*0.15)/12),IF((K318*12&lt;=867123.01),(31216+0.2*(K318*12-624329.01))/12,((79776+0.25*(K318*12-867123.01))/12))))</f>
        <v>14457.687291666667</v>
      </c>
      <c r="M318" s="69">
        <v>25</v>
      </c>
      <c r="N318" s="215">
        <f>+M318+I318+H318+G318+L318</f>
        <v>20983.687291666669</v>
      </c>
      <c r="O318" s="234">
        <f>+F318-N318</f>
        <v>89016.312708333338</v>
      </c>
    </row>
    <row r="319" spans="1:16" s="219" customFormat="1" ht="35.1" customHeight="1" x14ac:dyDescent="0.2">
      <c r="A319" s="223" t="s">
        <v>99</v>
      </c>
      <c r="B319" s="224"/>
      <c r="C319" s="224"/>
      <c r="D319" s="224"/>
      <c r="E319" s="239"/>
      <c r="F319" s="225">
        <f>SUM(F318:F318)</f>
        <v>110000</v>
      </c>
      <c r="G319" s="225">
        <f t="shared" ref="G319:O319" si="161">SUM(G318:G318)</f>
        <v>3157</v>
      </c>
      <c r="H319" s="225">
        <f t="shared" si="161"/>
        <v>3344</v>
      </c>
      <c r="I319" s="225">
        <f t="shared" si="161"/>
        <v>0</v>
      </c>
      <c r="J319" s="225">
        <f t="shared" si="161"/>
        <v>6501</v>
      </c>
      <c r="K319" s="225">
        <f t="shared" si="161"/>
        <v>103499</v>
      </c>
      <c r="L319" s="225">
        <f t="shared" si="161"/>
        <v>14457.687291666667</v>
      </c>
      <c r="M319" s="225">
        <f t="shared" si="161"/>
        <v>25</v>
      </c>
      <c r="N319" s="225">
        <f t="shared" si="161"/>
        <v>20983.687291666669</v>
      </c>
      <c r="O319" s="225">
        <f t="shared" si="161"/>
        <v>89016.312708333338</v>
      </c>
      <c r="P319" s="339"/>
    </row>
    <row r="320" spans="1:16" s="218" customFormat="1" ht="35.1" customHeight="1" thickBot="1" x14ac:dyDescent="0.25">
      <c r="A320" s="146"/>
      <c r="B320" s="146"/>
      <c r="C320" s="146"/>
      <c r="D320" s="146"/>
      <c r="E320" s="146"/>
      <c r="F320" s="226"/>
      <c r="G320" s="226"/>
      <c r="H320" s="226"/>
      <c r="I320" s="226"/>
      <c r="J320" s="226"/>
      <c r="K320" s="226"/>
      <c r="L320" s="226"/>
      <c r="M320" s="226"/>
      <c r="N320" s="226"/>
      <c r="O320" s="226"/>
    </row>
    <row r="321" spans="1:16" s="219" customFormat="1" ht="35.1" customHeight="1" thickBot="1" x14ac:dyDescent="0.25">
      <c r="A321" s="229" t="s">
        <v>278</v>
      </c>
      <c r="B321" s="230"/>
      <c r="C321" s="230"/>
      <c r="D321" s="230"/>
      <c r="E321" s="230"/>
      <c r="F321" s="230"/>
      <c r="G321" s="230"/>
      <c r="H321" s="230"/>
      <c r="I321" s="230"/>
      <c r="J321" s="230"/>
      <c r="K321" s="230"/>
      <c r="L321" s="230"/>
      <c r="M321" s="230"/>
      <c r="N321" s="230"/>
      <c r="O321" s="230"/>
    </row>
    <row r="322" spans="1:16" s="218" customFormat="1" ht="35.1" customHeight="1" x14ac:dyDescent="0.2">
      <c r="A322" s="235">
        <f>+A318+1</f>
        <v>146</v>
      </c>
      <c r="B322" s="238" t="s">
        <v>280</v>
      </c>
      <c r="C322" s="235" t="s">
        <v>334</v>
      </c>
      <c r="D322" s="238" t="s">
        <v>279</v>
      </c>
      <c r="E322" s="238" t="s">
        <v>190</v>
      </c>
      <c r="F322" s="68">
        <v>45000</v>
      </c>
      <c r="G322" s="68">
        <f t="shared" ref="G322" si="162">F322*2.87%</f>
        <v>1291.5</v>
      </c>
      <c r="H322" s="68">
        <f t="shared" ref="H322" si="163">+F322*3.04%</f>
        <v>1368</v>
      </c>
      <c r="I322" s="68"/>
      <c r="J322" s="69">
        <f>+G322+H322+I322</f>
        <v>2659.5</v>
      </c>
      <c r="K322" s="69">
        <f>+F322-J322</f>
        <v>42340.5</v>
      </c>
      <c r="L322" s="69">
        <v>0</v>
      </c>
      <c r="M322" s="221">
        <v>1290.29</v>
      </c>
      <c r="N322" s="215">
        <f>+M322+I322+H322+G322+L322</f>
        <v>3949.79</v>
      </c>
      <c r="O322" s="234">
        <f>+F322-N322</f>
        <v>41050.21</v>
      </c>
    </row>
    <row r="323" spans="1:16" s="274" customFormat="1" ht="35.1" customHeight="1" x14ac:dyDescent="0.2">
      <c r="A323" s="235">
        <f>+A322+1</f>
        <v>147</v>
      </c>
      <c r="B323" s="238" t="s">
        <v>337</v>
      </c>
      <c r="C323" s="235" t="s">
        <v>334</v>
      </c>
      <c r="D323" s="272" t="s">
        <v>279</v>
      </c>
      <c r="E323" s="238" t="s">
        <v>190</v>
      </c>
      <c r="F323" s="68">
        <v>45000</v>
      </c>
      <c r="G323" s="68">
        <f>F323*2.87%</f>
        <v>1291.5</v>
      </c>
      <c r="H323" s="68">
        <f>+F323*3.04%</f>
        <v>1368</v>
      </c>
      <c r="I323" s="68"/>
      <c r="J323" s="69">
        <f>+G323+H323+I323</f>
        <v>2659.5</v>
      </c>
      <c r="K323" s="69">
        <f t="shared" ref="K323:K324" si="164">+F323-J323</f>
        <v>42340.5</v>
      </c>
      <c r="L323" s="69">
        <v>1148.32</v>
      </c>
      <c r="M323" s="221">
        <v>225</v>
      </c>
      <c r="N323" s="215">
        <f t="shared" ref="N323:N324" si="165">+M323+I323+H323+G323+L323</f>
        <v>4032.8199999999997</v>
      </c>
      <c r="O323" s="234">
        <f t="shared" ref="O323:O324" si="166">+F323-N323</f>
        <v>40967.18</v>
      </c>
    </row>
    <row r="324" spans="1:16" s="219" customFormat="1" ht="35.1" customHeight="1" x14ac:dyDescent="0.2">
      <c r="A324" s="235">
        <f>+A323+1</f>
        <v>148</v>
      </c>
      <c r="B324" s="238" t="s">
        <v>503</v>
      </c>
      <c r="C324" s="235" t="s">
        <v>334</v>
      </c>
      <c r="D324" s="238" t="s">
        <v>279</v>
      </c>
      <c r="E324" s="238" t="s">
        <v>190</v>
      </c>
      <c r="F324" s="68">
        <v>38000</v>
      </c>
      <c r="G324" s="68">
        <f t="shared" ref="G324" si="167">F324*2.87%</f>
        <v>1090.5999999999999</v>
      </c>
      <c r="H324" s="68">
        <f t="shared" ref="H324" si="168">+F324*3.04%</f>
        <v>1155.2</v>
      </c>
      <c r="I324" s="68"/>
      <c r="J324" s="69">
        <f>+G324+H324+I324</f>
        <v>2245.8000000000002</v>
      </c>
      <c r="K324" s="69">
        <f t="shared" si="164"/>
        <v>35754.199999999997</v>
      </c>
      <c r="L324" s="69">
        <v>0</v>
      </c>
      <c r="M324" s="221">
        <v>225</v>
      </c>
      <c r="N324" s="215">
        <f t="shared" si="165"/>
        <v>2470.8000000000002</v>
      </c>
      <c r="O324" s="234">
        <f t="shared" si="166"/>
        <v>35529.199999999997</v>
      </c>
    </row>
    <row r="325" spans="1:16" s="219" customFormat="1" ht="35.1" customHeight="1" x14ac:dyDescent="0.2">
      <c r="A325" s="223" t="s">
        <v>99</v>
      </c>
      <c r="B325" s="224"/>
      <c r="C325" s="224"/>
      <c r="D325" s="224"/>
      <c r="E325" s="239"/>
      <c r="F325" s="225">
        <f t="shared" ref="F325:O325" si="169">SUM(F322:F324)</f>
        <v>128000</v>
      </c>
      <c r="G325" s="225">
        <f t="shared" si="169"/>
        <v>3673.6</v>
      </c>
      <c r="H325" s="225">
        <f t="shared" si="169"/>
        <v>3891.2</v>
      </c>
      <c r="I325" s="225">
        <f t="shared" si="169"/>
        <v>0</v>
      </c>
      <c r="J325" s="225">
        <f t="shared" si="169"/>
        <v>7564.8</v>
      </c>
      <c r="K325" s="225">
        <f t="shared" si="169"/>
        <v>120435.2</v>
      </c>
      <c r="L325" s="225">
        <f t="shared" si="169"/>
        <v>1148.32</v>
      </c>
      <c r="M325" s="225">
        <f t="shared" si="169"/>
        <v>1740.29</v>
      </c>
      <c r="N325" s="225">
        <f t="shared" si="169"/>
        <v>10453.41</v>
      </c>
      <c r="O325" s="225">
        <f t="shared" si="169"/>
        <v>117546.59</v>
      </c>
      <c r="P325" s="339"/>
    </row>
    <row r="326" spans="1:16" s="149" customFormat="1" ht="35.1" customHeight="1" x14ac:dyDescent="0.2">
      <c r="A326" s="146"/>
      <c r="B326" s="146"/>
      <c r="C326" s="146"/>
      <c r="D326" s="146"/>
      <c r="E326" s="146"/>
      <c r="F326" s="226"/>
      <c r="G326" s="226"/>
      <c r="H326" s="226"/>
      <c r="I326" s="226"/>
      <c r="J326" s="226"/>
      <c r="K326" s="226"/>
      <c r="L326" s="226"/>
      <c r="M326" s="226"/>
      <c r="N326" s="226"/>
      <c r="O326" s="226"/>
    </row>
    <row r="327" spans="1:16" s="219" customFormat="1" ht="35.1" customHeight="1" thickBot="1" x14ac:dyDescent="0.25">
      <c r="A327" s="146"/>
      <c r="B327" s="146"/>
      <c r="C327" s="146"/>
      <c r="D327" s="146"/>
      <c r="E327" s="146"/>
      <c r="F327" s="226"/>
      <c r="G327" s="226"/>
      <c r="H327" s="226"/>
      <c r="I327" s="226"/>
      <c r="J327" s="226"/>
      <c r="K327" s="226"/>
      <c r="L327" s="226"/>
      <c r="M327" s="226"/>
      <c r="N327" s="226"/>
      <c r="O327" s="226"/>
    </row>
    <row r="328" spans="1:16" s="149" customFormat="1" ht="35.1" customHeight="1" thickBot="1" x14ac:dyDescent="0.25">
      <c r="A328" s="229" t="s">
        <v>147</v>
      </c>
      <c r="B328" s="230"/>
      <c r="C328" s="230"/>
      <c r="D328" s="230"/>
      <c r="E328" s="230"/>
      <c r="F328" s="230"/>
      <c r="G328" s="230"/>
      <c r="H328" s="230"/>
      <c r="I328" s="230"/>
      <c r="J328" s="230"/>
      <c r="K328" s="230"/>
      <c r="L328" s="230"/>
      <c r="M328" s="230"/>
      <c r="N328" s="230"/>
      <c r="O328" s="230"/>
    </row>
    <row r="329" spans="1:16" s="149" customFormat="1" ht="35.1" customHeight="1" x14ac:dyDescent="0.2">
      <c r="A329" s="213">
        <f>+A324+1</f>
        <v>149</v>
      </c>
      <c r="B329" s="214" t="s">
        <v>281</v>
      </c>
      <c r="C329" s="213" t="s">
        <v>335</v>
      </c>
      <c r="D329" s="222" t="s">
        <v>85</v>
      </c>
      <c r="E329" s="72" t="s">
        <v>97</v>
      </c>
      <c r="F329" s="215">
        <v>80000</v>
      </c>
      <c r="G329" s="215">
        <f>F329*2.87%</f>
        <v>2296</v>
      </c>
      <c r="H329" s="215">
        <f t="shared" ref="H329:H333" si="170">+F329*3.04%</f>
        <v>2432</v>
      </c>
      <c r="I329" s="215">
        <v>0</v>
      </c>
      <c r="J329" s="215">
        <f>+G329+H329+I329</f>
        <v>4728</v>
      </c>
      <c r="K329" s="215">
        <f t="shared" ref="K329:K341" si="171">+F329-J329</f>
        <v>75272</v>
      </c>
      <c r="L329" s="69">
        <f t="shared" ref="L329" si="172">+IF(K329*12&lt;=416220.01,0,IF(K329*12&lt;=624329.01,(((K329*12-416220.01)*0.15)/12),IF((K329*12&lt;=867123.01),(31216+0.2*(K329*12-624329.01))/12,((79776+0.25*(K329*12-867123.01))/12))))</f>
        <v>7400.9372916666662</v>
      </c>
      <c r="M329" s="221">
        <v>9388.7099999999991</v>
      </c>
      <c r="N329" s="215">
        <f t="shared" ref="N329:N342" si="173">+M329+I329+H329+G329+L329</f>
        <v>21517.647291666664</v>
      </c>
      <c r="O329" s="221">
        <f t="shared" ref="O329:O342" si="174">+F329-N329</f>
        <v>58482.352708333332</v>
      </c>
    </row>
    <row r="330" spans="1:16" s="149" customFormat="1" ht="35.1" customHeight="1" x14ac:dyDescent="0.2">
      <c r="A330" s="213">
        <f>+A329+1</f>
        <v>150</v>
      </c>
      <c r="B330" s="214" t="s">
        <v>5</v>
      </c>
      <c r="C330" s="213" t="s">
        <v>335</v>
      </c>
      <c r="D330" s="222" t="s">
        <v>284</v>
      </c>
      <c r="E330" s="72" t="s">
        <v>97</v>
      </c>
      <c r="F330" s="215">
        <v>47500</v>
      </c>
      <c r="G330" s="215">
        <f t="shared" ref="G330:G333" si="175">F330*2.87%</f>
        <v>1363.25</v>
      </c>
      <c r="H330" s="215">
        <f t="shared" si="170"/>
        <v>1444</v>
      </c>
      <c r="I330" s="215">
        <v>3839.56</v>
      </c>
      <c r="J330" s="215">
        <f t="shared" ref="J330:J333" si="176">+G330+H330+I330</f>
        <v>6646.8099999999995</v>
      </c>
      <c r="K330" s="215">
        <f t="shared" si="171"/>
        <v>40853.19</v>
      </c>
      <c r="L330" s="69">
        <v>0</v>
      </c>
      <c r="M330" s="221">
        <v>225</v>
      </c>
      <c r="N330" s="215">
        <f t="shared" si="173"/>
        <v>6871.8099999999995</v>
      </c>
      <c r="O330" s="221">
        <f t="shared" si="174"/>
        <v>40628.19</v>
      </c>
    </row>
    <row r="331" spans="1:16" s="149" customFormat="1" ht="35.1" customHeight="1" x14ac:dyDescent="0.2">
      <c r="A331" s="213">
        <f t="shared" ref="A331:A335" si="177">+A330+1</f>
        <v>151</v>
      </c>
      <c r="B331" s="214" t="s">
        <v>29</v>
      </c>
      <c r="C331" s="213" t="s">
        <v>335</v>
      </c>
      <c r="D331" s="222" t="s">
        <v>284</v>
      </c>
      <c r="E331" s="72" t="s">
        <v>97</v>
      </c>
      <c r="F331" s="215">
        <v>47500</v>
      </c>
      <c r="G331" s="215">
        <f t="shared" si="175"/>
        <v>1363.25</v>
      </c>
      <c r="H331" s="215">
        <f t="shared" si="170"/>
        <v>1444</v>
      </c>
      <c r="I331" s="215">
        <v>0</v>
      </c>
      <c r="J331" s="215">
        <f t="shared" si="176"/>
        <v>2807.25</v>
      </c>
      <c r="K331" s="215">
        <f t="shared" si="171"/>
        <v>44692.75</v>
      </c>
      <c r="L331" s="69">
        <v>0</v>
      </c>
      <c r="M331" s="221">
        <v>1790.29</v>
      </c>
      <c r="N331" s="215">
        <f t="shared" si="173"/>
        <v>4597.54</v>
      </c>
      <c r="O331" s="221">
        <f t="shared" si="174"/>
        <v>42902.46</v>
      </c>
    </row>
    <row r="332" spans="1:16" s="148" customFormat="1" ht="35.1" customHeight="1" x14ac:dyDescent="0.2">
      <c r="A332" s="213">
        <f t="shared" si="177"/>
        <v>152</v>
      </c>
      <c r="B332" s="214" t="s">
        <v>289</v>
      </c>
      <c r="C332" s="213" t="s">
        <v>335</v>
      </c>
      <c r="D332" s="222" t="s">
        <v>283</v>
      </c>
      <c r="E332" s="72" t="s">
        <v>97</v>
      </c>
      <c r="F332" s="215">
        <v>47500</v>
      </c>
      <c r="G332" s="215">
        <f t="shared" si="175"/>
        <v>1363.25</v>
      </c>
      <c r="H332" s="215">
        <f t="shared" si="170"/>
        <v>1444</v>
      </c>
      <c r="I332" s="215">
        <v>1919.78</v>
      </c>
      <c r="J332" s="215">
        <f>+G332+H332+I332</f>
        <v>4727.03</v>
      </c>
      <c r="K332" s="215">
        <f t="shared" si="171"/>
        <v>42772.97</v>
      </c>
      <c r="L332" s="69">
        <v>0</v>
      </c>
      <c r="M332" s="221">
        <v>4758.24</v>
      </c>
      <c r="N332" s="215">
        <f t="shared" si="173"/>
        <v>9485.27</v>
      </c>
      <c r="O332" s="221">
        <f t="shared" si="174"/>
        <v>38014.729999999996</v>
      </c>
    </row>
    <row r="333" spans="1:16" s="219" customFormat="1" ht="35.1" customHeight="1" x14ac:dyDescent="0.2">
      <c r="A333" s="213">
        <f t="shared" si="177"/>
        <v>153</v>
      </c>
      <c r="B333" s="214" t="s">
        <v>285</v>
      </c>
      <c r="C333" s="213" t="s">
        <v>334</v>
      </c>
      <c r="D333" s="222" t="s">
        <v>283</v>
      </c>
      <c r="E333" s="72" t="s">
        <v>97</v>
      </c>
      <c r="F333" s="215">
        <v>47500</v>
      </c>
      <c r="G333" s="215">
        <f t="shared" si="175"/>
        <v>1363.25</v>
      </c>
      <c r="H333" s="215">
        <f t="shared" si="170"/>
        <v>1444</v>
      </c>
      <c r="I333" s="215"/>
      <c r="J333" s="215">
        <f t="shared" si="176"/>
        <v>2807.25</v>
      </c>
      <c r="K333" s="215">
        <f t="shared" si="171"/>
        <v>44692.75</v>
      </c>
      <c r="L333" s="69">
        <v>0</v>
      </c>
      <c r="M333" s="221">
        <v>14462.48</v>
      </c>
      <c r="N333" s="215">
        <f t="shared" si="173"/>
        <v>17269.73</v>
      </c>
      <c r="O333" s="221">
        <f t="shared" si="174"/>
        <v>30230.27</v>
      </c>
    </row>
    <row r="334" spans="1:16" s="219" customFormat="1" ht="35.1" customHeight="1" x14ac:dyDescent="0.2">
      <c r="A334" s="213">
        <f t="shared" si="177"/>
        <v>154</v>
      </c>
      <c r="B334" s="214" t="s">
        <v>287</v>
      </c>
      <c r="C334" s="213" t="s">
        <v>335</v>
      </c>
      <c r="D334" s="222" t="s">
        <v>283</v>
      </c>
      <c r="E334" s="72" t="s">
        <v>97</v>
      </c>
      <c r="F334" s="215">
        <v>47500</v>
      </c>
      <c r="G334" s="215">
        <f t="shared" ref="G334:G342" si="178">F334*2.87%</f>
        <v>1363.25</v>
      </c>
      <c r="H334" s="215">
        <f t="shared" ref="H334:H342" si="179">+F334*3.04%</f>
        <v>1444</v>
      </c>
      <c r="I334" s="215"/>
      <c r="J334" s="215">
        <f t="shared" ref="J334:J340" si="180">+G334+H334+I334</f>
        <v>2807.25</v>
      </c>
      <c r="K334" s="215">
        <f t="shared" si="171"/>
        <v>44692.75</v>
      </c>
      <c r="L334" s="69">
        <v>0</v>
      </c>
      <c r="M334" s="221">
        <v>3698.95</v>
      </c>
      <c r="N334" s="215">
        <f t="shared" si="173"/>
        <v>6506.2</v>
      </c>
      <c r="O334" s="221">
        <f t="shared" si="174"/>
        <v>40993.800000000003</v>
      </c>
    </row>
    <row r="335" spans="1:16" s="219" customFormat="1" ht="35.1" customHeight="1" x14ac:dyDescent="0.2">
      <c r="A335" s="213">
        <f t="shared" si="177"/>
        <v>155</v>
      </c>
      <c r="B335" s="214" t="s">
        <v>28</v>
      </c>
      <c r="C335" s="213" t="s">
        <v>335</v>
      </c>
      <c r="D335" s="222" t="s">
        <v>283</v>
      </c>
      <c r="E335" s="72" t="s">
        <v>97</v>
      </c>
      <c r="F335" s="215">
        <v>47500</v>
      </c>
      <c r="G335" s="215">
        <f t="shared" si="178"/>
        <v>1363.25</v>
      </c>
      <c r="H335" s="215">
        <f t="shared" si="179"/>
        <v>1444</v>
      </c>
      <c r="I335" s="215">
        <v>1919.78</v>
      </c>
      <c r="J335" s="215">
        <f t="shared" si="180"/>
        <v>4727.03</v>
      </c>
      <c r="K335" s="215">
        <f t="shared" si="171"/>
        <v>42772.97</v>
      </c>
      <c r="L335" s="69">
        <v>0</v>
      </c>
      <c r="M335" s="221">
        <v>12798.78</v>
      </c>
      <c r="N335" s="215">
        <f t="shared" si="173"/>
        <v>17525.810000000001</v>
      </c>
      <c r="O335" s="221">
        <f t="shared" si="174"/>
        <v>29974.19</v>
      </c>
    </row>
    <row r="336" spans="1:16" s="148" customFormat="1" ht="35.1" customHeight="1" x14ac:dyDescent="0.2">
      <c r="A336" s="213">
        <f>+A335+1</f>
        <v>156</v>
      </c>
      <c r="B336" s="214" t="s">
        <v>14</v>
      </c>
      <c r="C336" s="213" t="s">
        <v>335</v>
      </c>
      <c r="D336" s="222" t="s">
        <v>283</v>
      </c>
      <c r="E336" s="72" t="s">
        <v>96</v>
      </c>
      <c r="F336" s="215">
        <v>40000</v>
      </c>
      <c r="G336" s="215">
        <f>F336*2.87%</f>
        <v>1148</v>
      </c>
      <c r="H336" s="215">
        <f>+F336*3.04%</f>
        <v>1216</v>
      </c>
      <c r="I336" s="215">
        <v>1919.78</v>
      </c>
      <c r="J336" s="215">
        <f>+G336+H336+I336</f>
        <v>4283.78</v>
      </c>
      <c r="K336" s="215">
        <f>+F336-J336</f>
        <v>35716.22</v>
      </c>
      <c r="L336" s="69">
        <f t="shared" ref="L336:L342" si="181">+IF(K336*12&lt;=416220.01,0,IF(K336*12&lt;=624329.01,(((K336*12-416220.01)*0.15)/12),IF((K336*12&lt;=867123.01),(31216+0.2*(K336*12-624329.01))/12,((79776+0.25*(K336*12-867123.01))/12))))</f>
        <v>154.68287500000005</v>
      </c>
      <c r="M336" s="221">
        <v>15392.67</v>
      </c>
      <c r="N336" s="215">
        <f t="shared" si="173"/>
        <v>19831.132874999999</v>
      </c>
      <c r="O336" s="221">
        <f t="shared" si="174"/>
        <v>20168.867125000001</v>
      </c>
    </row>
    <row r="337" spans="1:16" s="148" customFormat="1" ht="35.1" customHeight="1" x14ac:dyDescent="0.2">
      <c r="A337" s="213">
        <f>+A336+1</f>
        <v>157</v>
      </c>
      <c r="B337" s="214" t="s">
        <v>288</v>
      </c>
      <c r="C337" s="213" t="s">
        <v>335</v>
      </c>
      <c r="D337" s="222" t="s">
        <v>16</v>
      </c>
      <c r="E337" s="72" t="s">
        <v>97</v>
      </c>
      <c r="F337" s="215">
        <v>42500</v>
      </c>
      <c r="G337" s="215">
        <f>F337*2.87%</f>
        <v>1219.75</v>
      </c>
      <c r="H337" s="215">
        <f t="shared" ref="H337:H339" si="182">+F337*3.04%</f>
        <v>1292</v>
      </c>
      <c r="I337" s="215">
        <v>1919.78</v>
      </c>
      <c r="J337" s="215">
        <f>+G337+H337+I337</f>
        <v>4431.53</v>
      </c>
      <c r="K337" s="215">
        <f t="shared" si="171"/>
        <v>38068.47</v>
      </c>
      <c r="L337" s="69">
        <f t="shared" si="181"/>
        <v>507.52037500000006</v>
      </c>
      <c r="M337" s="221">
        <v>345</v>
      </c>
      <c r="N337" s="215">
        <f t="shared" si="173"/>
        <v>5284.0503749999998</v>
      </c>
      <c r="O337" s="221">
        <f t="shared" si="174"/>
        <v>37215.949625000001</v>
      </c>
    </row>
    <row r="338" spans="1:16" s="219" customFormat="1" ht="35.1" customHeight="1" x14ac:dyDescent="0.2">
      <c r="A338" s="213">
        <f>+A337+1</f>
        <v>158</v>
      </c>
      <c r="B338" s="214" t="s">
        <v>291</v>
      </c>
      <c r="C338" s="213" t="s">
        <v>334</v>
      </c>
      <c r="D338" s="222" t="s">
        <v>76</v>
      </c>
      <c r="E338" s="72" t="s">
        <v>97</v>
      </c>
      <c r="F338" s="215">
        <v>38000</v>
      </c>
      <c r="G338" s="215">
        <f>F338*2.87%</f>
        <v>1090.5999999999999</v>
      </c>
      <c r="H338" s="215">
        <f t="shared" si="182"/>
        <v>1155.2</v>
      </c>
      <c r="I338" s="215"/>
      <c r="J338" s="215">
        <f>+G338+H338+I338</f>
        <v>2245.8000000000002</v>
      </c>
      <c r="K338" s="215">
        <f>+F338-J338</f>
        <v>35754.199999999997</v>
      </c>
      <c r="L338" s="69">
        <v>0</v>
      </c>
      <c r="M338" s="221">
        <v>6033.3</v>
      </c>
      <c r="N338" s="215">
        <f t="shared" si="173"/>
        <v>8279.1</v>
      </c>
      <c r="O338" s="221">
        <f t="shared" si="174"/>
        <v>29720.9</v>
      </c>
    </row>
    <row r="339" spans="1:16" s="148" customFormat="1" ht="35.1" customHeight="1" x14ac:dyDescent="0.2">
      <c r="A339" s="213">
        <f>+A338+1</f>
        <v>159</v>
      </c>
      <c r="B339" s="214" t="s">
        <v>437</v>
      </c>
      <c r="C339" s="213" t="s">
        <v>334</v>
      </c>
      <c r="D339" s="222" t="s">
        <v>16</v>
      </c>
      <c r="E339" s="72" t="s">
        <v>97</v>
      </c>
      <c r="F339" s="215">
        <v>38000</v>
      </c>
      <c r="G339" s="215">
        <f t="shared" ref="G339" si="183">F339*2.87%</f>
        <v>1090.5999999999999</v>
      </c>
      <c r="H339" s="215">
        <f t="shared" si="182"/>
        <v>1155.2</v>
      </c>
      <c r="I339" s="215">
        <v>0</v>
      </c>
      <c r="J339" s="215">
        <f t="shared" ref="J339" si="184">+G339+H339+I339</f>
        <v>2245.8000000000002</v>
      </c>
      <c r="K339" s="215">
        <f t="shared" si="171"/>
        <v>35754.199999999997</v>
      </c>
      <c r="L339" s="69">
        <v>0</v>
      </c>
      <c r="M339" s="221">
        <v>25</v>
      </c>
      <c r="N339" s="215">
        <f t="shared" si="173"/>
        <v>2270.8000000000002</v>
      </c>
      <c r="O339" s="221">
        <f t="shared" si="174"/>
        <v>35729.199999999997</v>
      </c>
    </row>
    <row r="340" spans="1:16" s="219" customFormat="1" ht="35.1" customHeight="1" x14ac:dyDescent="0.2">
      <c r="A340" s="213">
        <f t="shared" ref="A340:A342" si="185">+A339+1</f>
        <v>160</v>
      </c>
      <c r="B340" s="214" t="s">
        <v>31</v>
      </c>
      <c r="C340" s="213" t="s">
        <v>335</v>
      </c>
      <c r="D340" s="222" t="s">
        <v>286</v>
      </c>
      <c r="E340" s="72" t="s">
        <v>97</v>
      </c>
      <c r="F340" s="215">
        <v>35000</v>
      </c>
      <c r="G340" s="215">
        <f t="shared" si="178"/>
        <v>1004.5</v>
      </c>
      <c r="H340" s="215">
        <f t="shared" si="179"/>
        <v>1064</v>
      </c>
      <c r="I340" s="215">
        <v>1919.78</v>
      </c>
      <c r="J340" s="215">
        <f t="shared" si="180"/>
        <v>3988.2799999999997</v>
      </c>
      <c r="K340" s="215">
        <f t="shared" si="171"/>
        <v>31011.72</v>
      </c>
      <c r="L340" s="69">
        <f t="shared" si="181"/>
        <v>0</v>
      </c>
      <c r="M340" s="221">
        <v>1290.29</v>
      </c>
      <c r="N340" s="215">
        <f t="shared" si="173"/>
        <v>5278.57</v>
      </c>
      <c r="O340" s="221">
        <f t="shared" si="174"/>
        <v>29721.43</v>
      </c>
    </row>
    <row r="341" spans="1:16" s="219" customFormat="1" ht="35.1" customHeight="1" x14ac:dyDescent="0.2">
      <c r="A341" s="213">
        <f t="shared" si="185"/>
        <v>161</v>
      </c>
      <c r="B341" s="214" t="s">
        <v>290</v>
      </c>
      <c r="C341" s="213" t="s">
        <v>334</v>
      </c>
      <c r="D341" s="222" t="s">
        <v>76</v>
      </c>
      <c r="E341" s="72" t="s">
        <v>190</v>
      </c>
      <c r="F341" s="215">
        <v>28000</v>
      </c>
      <c r="G341" s="215">
        <f t="shared" si="178"/>
        <v>803.6</v>
      </c>
      <c r="H341" s="215">
        <f t="shared" si="179"/>
        <v>851.2</v>
      </c>
      <c r="I341" s="215"/>
      <c r="J341" s="215">
        <f t="shared" ref="J341:J342" si="186">+G341+H341+I341</f>
        <v>1654.8000000000002</v>
      </c>
      <c r="K341" s="215">
        <f t="shared" si="171"/>
        <v>26345.200000000001</v>
      </c>
      <c r="L341" s="69">
        <f t="shared" si="181"/>
        <v>0</v>
      </c>
      <c r="M341" s="221">
        <v>5430.43</v>
      </c>
      <c r="N341" s="215">
        <f t="shared" si="173"/>
        <v>7085.2300000000005</v>
      </c>
      <c r="O341" s="221">
        <f t="shared" si="174"/>
        <v>20914.77</v>
      </c>
    </row>
    <row r="342" spans="1:16" s="148" customFormat="1" ht="35.1" customHeight="1" x14ac:dyDescent="0.2">
      <c r="A342" s="213">
        <f t="shared" si="185"/>
        <v>162</v>
      </c>
      <c r="B342" s="214" t="s">
        <v>445</v>
      </c>
      <c r="C342" s="213" t="s">
        <v>334</v>
      </c>
      <c r="D342" s="222" t="s">
        <v>167</v>
      </c>
      <c r="E342" s="72" t="s">
        <v>190</v>
      </c>
      <c r="F342" s="215">
        <v>30000</v>
      </c>
      <c r="G342" s="215">
        <f t="shared" si="178"/>
        <v>861</v>
      </c>
      <c r="H342" s="215">
        <f t="shared" si="179"/>
        <v>912</v>
      </c>
      <c r="I342" s="215"/>
      <c r="J342" s="215">
        <f t="shared" si="186"/>
        <v>1773</v>
      </c>
      <c r="K342" s="215">
        <f>+F342-J342</f>
        <v>28227</v>
      </c>
      <c r="L342" s="69">
        <f t="shared" si="181"/>
        <v>0</v>
      </c>
      <c r="M342" s="221">
        <v>1821.97</v>
      </c>
      <c r="N342" s="215">
        <f t="shared" si="173"/>
        <v>3594.9700000000003</v>
      </c>
      <c r="O342" s="221">
        <f t="shared" si="174"/>
        <v>26405.03</v>
      </c>
    </row>
    <row r="343" spans="1:16" s="148" customFormat="1" ht="35.1" customHeight="1" x14ac:dyDescent="0.2">
      <c r="A343" s="223" t="s">
        <v>99</v>
      </c>
      <c r="B343" s="224"/>
      <c r="C343" s="224"/>
      <c r="D343" s="224"/>
      <c r="E343" s="239"/>
      <c r="F343" s="225">
        <f t="shared" ref="F343:O343" si="187">SUM(F329:F342)</f>
        <v>616500</v>
      </c>
      <c r="G343" s="225">
        <f t="shared" si="187"/>
        <v>17693.55</v>
      </c>
      <c r="H343" s="225">
        <f t="shared" si="187"/>
        <v>18741.600000000002</v>
      </c>
      <c r="I343" s="225">
        <f t="shared" si="187"/>
        <v>13438.460000000001</v>
      </c>
      <c r="J343" s="225">
        <f t="shared" si="187"/>
        <v>49873.610000000008</v>
      </c>
      <c r="K343" s="225">
        <f t="shared" si="187"/>
        <v>566626.3899999999</v>
      </c>
      <c r="L343" s="225">
        <f t="shared" si="187"/>
        <v>8063.1405416666666</v>
      </c>
      <c r="M343" s="225">
        <f t="shared" si="187"/>
        <v>77461.109999999986</v>
      </c>
      <c r="N343" s="225">
        <f t="shared" si="187"/>
        <v>135397.86054166668</v>
      </c>
      <c r="O343" s="225">
        <f t="shared" si="187"/>
        <v>481102.13945833337</v>
      </c>
      <c r="P343" s="339"/>
    </row>
    <row r="344" spans="1:16" s="148" customFormat="1" ht="35.1" customHeight="1" thickBot="1" x14ac:dyDescent="0.25">
      <c r="A344" s="227"/>
      <c r="B344" s="260"/>
      <c r="C344" s="261"/>
      <c r="D344" s="260"/>
      <c r="E344" s="260"/>
      <c r="F344" s="262"/>
      <c r="G344" s="262"/>
      <c r="H344" s="262"/>
      <c r="I344" s="262"/>
      <c r="J344" s="262"/>
      <c r="K344" s="262"/>
      <c r="L344" s="262"/>
      <c r="M344" s="262"/>
      <c r="N344" s="262"/>
      <c r="O344" s="262"/>
    </row>
    <row r="345" spans="1:16" s="148" customFormat="1" ht="35.1" customHeight="1" thickBot="1" x14ac:dyDescent="0.25">
      <c r="A345" s="275"/>
      <c r="B345" s="276" t="s">
        <v>329</v>
      </c>
      <c r="C345" s="277"/>
      <c r="D345" s="278"/>
      <c r="E345" s="279"/>
      <c r="F345" s="280">
        <f t="shared" ref="F345:O345" si="188">+F17+F24+F28+F32+F39+F46+F50+F54+F60+F66+F70+F77+F83+F89+F93+F101+F106+F113+F118+F125+F130+F137+F142+F150+F155+F159+F162+F170+F177+F181+F186+F191+F195+F199+F205+F209+F213+F218+F223+F227+F232+F237+F270+F278+F306+F310+F315+F319+F325+F343+F146</f>
        <v>13082250</v>
      </c>
      <c r="G345" s="280">
        <f t="shared" si="188"/>
        <v>373164.57500000001</v>
      </c>
      <c r="H345" s="280">
        <f t="shared" si="188"/>
        <v>397312.19200000004</v>
      </c>
      <c r="I345" s="280">
        <f t="shared" si="188"/>
        <v>113267.01999999997</v>
      </c>
      <c r="J345" s="280">
        <f t="shared" si="188"/>
        <v>881311.78700000024</v>
      </c>
      <c r="K345" s="280">
        <f t="shared" si="188"/>
        <v>12120938.213000003</v>
      </c>
      <c r="L345" s="280">
        <f t="shared" si="188"/>
        <v>1191608.8999583337</v>
      </c>
      <c r="M345" s="280">
        <f t="shared" si="188"/>
        <v>965811.97000000032</v>
      </c>
      <c r="N345" s="280">
        <f t="shared" si="188"/>
        <v>3043460.6569583351</v>
      </c>
      <c r="O345" s="280">
        <f t="shared" si="188"/>
        <v>10038789.343041668</v>
      </c>
    </row>
    <row r="346" spans="1:16" s="148" customFormat="1" ht="35.1" customHeight="1" x14ac:dyDescent="0.2">
      <c r="A346" s="275"/>
      <c r="B346" s="285"/>
      <c r="C346" s="286"/>
      <c r="D346" s="285"/>
      <c r="E346" s="285"/>
      <c r="G346" s="149"/>
      <c r="H346" s="149"/>
      <c r="I346" s="149"/>
      <c r="J346" s="149"/>
      <c r="K346" s="281"/>
      <c r="L346" s="149"/>
      <c r="M346" s="149"/>
      <c r="N346" s="149"/>
      <c r="O346" s="149"/>
    </row>
    <row r="347" spans="1:16" s="148" customFormat="1" ht="35.1" customHeight="1" x14ac:dyDescent="0.2">
      <c r="A347" s="203"/>
      <c r="B347" s="147"/>
      <c r="C347" s="203"/>
      <c r="D347" s="147"/>
      <c r="E347" s="147"/>
      <c r="G347" s="149"/>
      <c r="H347" s="149"/>
      <c r="I347" s="149"/>
      <c r="J347" s="149"/>
      <c r="K347" s="149"/>
      <c r="L347" s="149"/>
      <c r="M347" s="149"/>
      <c r="N347" s="149"/>
      <c r="O347" s="149"/>
    </row>
    <row r="348" spans="1:16" s="148" customFormat="1" ht="35.1" customHeight="1" thickBot="1" x14ac:dyDescent="0.25">
      <c r="A348" s="203"/>
      <c r="B348" s="351" t="s">
        <v>618</v>
      </c>
      <c r="C348" s="351"/>
      <c r="D348" s="120"/>
      <c r="E348" s="356"/>
      <c r="F348" s="356"/>
      <c r="G348" s="149"/>
      <c r="H348" s="316"/>
      <c r="I348" s="281"/>
      <c r="J348" s="149"/>
      <c r="K348" s="288"/>
      <c r="L348" s="149"/>
      <c r="M348" s="149"/>
      <c r="N348" s="149"/>
      <c r="O348" s="149"/>
    </row>
    <row r="349" spans="1:16" s="148" customFormat="1" ht="35.1" customHeight="1" x14ac:dyDescent="0.2">
      <c r="A349" s="203"/>
      <c r="B349" s="350" t="s">
        <v>632</v>
      </c>
      <c r="C349" s="350"/>
      <c r="D349" s="120"/>
      <c r="E349" s="357"/>
      <c r="F349" s="357"/>
      <c r="G349" s="149"/>
      <c r="H349" s="149"/>
      <c r="I349" s="149"/>
      <c r="J349" s="149"/>
      <c r="K349" s="288"/>
      <c r="L349" s="149"/>
      <c r="M349" s="149"/>
      <c r="N349" s="149"/>
      <c r="O349" s="149"/>
    </row>
    <row r="350" spans="1:16" s="148" customFormat="1" ht="35.1" customHeight="1" x14ac:dyDescent="0.2">
      <c r="A350" s="203"/>
      <c r="B350" s="147"/>
      <c r="C350" s="203"/>
      <c r="D350" s="147"/>
      <c r="E350" s="147"/>
      <c r="G350" s="149"/>
      <c r="H350" s="149"/>
      <c r="I350" s="149"/>
      <c r="J350" s="149"/>
      <c r="K350" s="288"/>
      <c r="L350" s="149"/>
      <c r="M350" s="149"/>
      <c r="N350" s="149"/>
      <c r="O350" s="149"/>
    </row>
    <row r="351" spans="1:16" s="219" customFormat="1" ht="35.1" customHeight="1" x14ac:dyDescent="0.2">
      <c r="A351" s="203"/>
      <c r="B351" s="147"/>
      <c r="C351" s="203"/>
      <c r="D351" s="147"/>
      <c r="E351" s="147"/>
      <c r="F351" s="148"/>
      <c r="G351" s="149"/>
      <c r="H351" s="149"/>
      <c r="I351" s="149"/>
      <c r="J351" s="149"/>
      <c r="K351" s="288"/>
      <c r="L351" s="149"/>
      <c r="M351" s="149"/>
      <c r="N351" s="149"/>
      <c r="O351" s="149"/>
    </row>
    <row r="352" spans="1:16" s="148" customFormat="1" ht="35.1" customHeight="1" x14ac:dyDescent="0.2">
      <c r="A352" s="203"/>
      <c r="B352" s="147"/>
      <c r="C352" s="203"/>
      <c r="D352" s="147"/>
      <c r="E352" s="147"/>
      <c r="G352" s="149"/>
      <c r="H352" s="149"/>
      <c r="I352" s="149"/>
      <c r="J352" s="149"/>
      <c r="K352" s="288"/>
      <c r="L352" s="149"/>
      <c r="M352" s="149"/>
      <c r="N352" s="149"/>
      <c r="O352" s="149"/>
    </row>
    <row r="353" spans="1:15" s="148" customFormat="1" ht="35.1" customHeight="1" x14ac:dyDescent="0.2">
      <c r="A353" s="203"/>
      <c r="B353" s="147"/>
      <c r="C353" s="203"/>
      <c r="D353" s="147"/>
      <c r="E353" s="147"/>
      <c r="G353" s="149"/>
      <c r="H353" s="149"/>
      <c r="I353" s="149"/>
      <c r="J353" s="149"/>
      <c r="K353" s="288"/>
      <c r="L353" s="149"/>
      <c r="M353" s="149"/>
      <c r="N353" s="149"/>
      <c r="O353" s="149"/>
    </row>
    <row r="354" spans="1:15" s="148" customFormat="1" ht="35.1" customHeight="1" x14ac:dyDescent="0.2">
      <c r="A354" s="203"/>
      <c r="B354" s="147"/>
      <c r="C354" s="203"/>
      <c r="D354" s="147"/>
      <c r="E354" s="147"/>
      <c r="G354" s="149"/>
      <c r="H354" s="149"/>
      <c r="I354" s="149"/>
      <c r="J354" s="149"/>
      <c r="K354" s="288"/>
      <c r="L354" s="149"/>
      <c r="M354" s="149"/>
      <c r="N354" s="149"/>
      <c r="O354" s="149"/>
    </row>
    <row r="355" spans="1:15" s="148" customFormat="1" ht="35.1" customHeight="1" x14ac:dyDescent="0.2">
      <c r="A355" s="203"/>
      <c r="B355" s="147"/>
      <c r="C355" s="203"/>
      <c r="D355" s="147"/>
      <c r="E355" s="147"/>
      <c r="G355" s="149"/>
      <c r="H355" s="149"/>
      <c r="I355" s="149"/>
      <c r="J355" s="149"/>
      <c r="K355" s="149"/>
      <c r="L355" s="149"/>
      <c r="M355" s="149"/>
      <c r="N355" s="149"/>
      <c r="O355" s="149"/>
    </row>
    <row r="356" spans="1:15" s="218" customFormat="1" ht="35.1" customHeight="1" x14ac:dyDescent="0.2">
      <c r="A356" s="203"/>
      <c r="B356" s="147"/>
      <c r="C356" s="203"/>
      <c r="D356" s="147"/>
      <c r="E356" s="147"/>
      <c r="F356" s="148"/>
      <c r="G356" s="149"/>
      <c r="H356" s="149"/>
      <c r="I356" s="149"/>
      <c r="J356" s="149"/>
      <c r="K356" s="149"/>
      <c r="L356" s="149"/>
      <c r="M356" s="149"/>
      <c r="N356" s="149"/>
      <c r="O356" s="149"/>
    </row>
    <row r="357" spans="1:15" s="218" customFormat="1" ht="35.1" customHeight="1" x14ac:dyDescent="0.2">
      <c r="A357" s="203"/>
      <c r="B357" s="147"/>
      <c r="C357" s="203"/>
      <c r="D357" s="147"/>
      <c r="E357" s="147"/>
      <c r="F357" s="148"/>
      <c r="G357" s="149"/>
      <c r="H357" s="149"/>
      <c r="I357" s="149"/>
      <c r="J357" s="149"/>
      <c r="K357" s="149"/>
      <c r="L357" s="149"/>
      <c r="M357" s="149"/>
      <c r="N357" s="149"/>
      <c r="O357" s="149"/>
    </row>
    <row r="16860" spans="2:2" ht="35.1" customHeight="1" x14ac:dyDescent="0.2">
      <c r="B16860" s="144">
        <f>SUM(B6:B16859)</f>
        <v>0</v>
      </c>
    </row>
    <row r="16862" spans="2:2" s="113" customFormat="1" ht="35.1" customHeight="1" x14ac:dyDescent="0.2">
      <c r="B16862" s="144">
        <f>SUM(B16860)</f>
        <v>0</v>
      </c>
    </row>
    <row r="1000185" spans="14:14" ht="35.1" customHeight="1" x14ac:dyDescent="0.2">
      <c r="N1000185" s="123" t="e">
        <f>SUM(#REF!)</f>
        <v>#REF!</v>
      </c>
    </row>
  </sheetData>
  <mergeCells count="25">
    <mergeCell ref="A91:E91"/>
    <mergeCell ref="A95:E95"/>
    <mergeCell ref="A103:E103"/>
    <mergeCell ref="A108:E108"/>
    <mergeCell ref="A114:E114"/>
    <mergeCell ref="A1:O1"/>
    <mergeCell ref="A2:O2"/>
    <mergeCell ref="A3:O3"/>
    <mergeCell ref="A85:D85"/>
    <mergeCell ref="G5:J5"/>
    <mergeCell ref="A52:B52"/>
    <mergeCell ref="A56:B56"/>
    <mergeCell ref="A62:B62"/>
    <mergeCell ref="A67:C67"/>
    <mergeCell ref="A72:D72"/>
    <mergeCell ref="A79:D79"/>
    <mergeCell ref="B349:C349"/>
    <mergeCell ref="B348:C348"/>
    <mergeCell ref="A120:E120"/>
    <mergeCell ref="A127:E127"/>
    <mergeCell ref="A132:E132"/>
    <mergeCell ref="A148:E148"/>
    <mergeCell ref="A220:D220"/>
    <mergeCell ref="E348:F348"/>
    <mergeCell ref="E349:F349"/>
  </mergeCells>
  <pageMargins left="0.23622047244094488" right="0.23622047244094488" top="0.31" bottom="0.25" header="0.31496062992125984" footer="0.26"/>
  <pageSetup paperSize="5" scale="51" fitToHeight="0" orientation="landscape" r:id="rId1"/>
  <rowBreaks count="14" manualBreakCount="14">
    <brk id="32" max="14" man="1"/>
    <brk id="57" max="14" man="1"/>
    <brk id="84" max="14" man="1"/>
    <brk id="111" max="14" man="1"/>
    <brk id="137" max="14" man="1"/>
    <brk id="162" max="14" man="1"/>
    <brk id="186" max="14" man="1"/>
    <brk id="214" max="14" man="1"/>
    <brk id="238" max="14" man="1"/>
    <brk id="263" max="14" man="1"/>
    <brk id="289" max="14" man="1"/>
    <brk id="316" max="14" man="1"/>
    <brk id="341" max="14" man="1"/>
    <brk id="357" max="15" man="1"/>
  </rowBreaks>
  <ignoredErrors>
    <ignoredError sqref="H14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48211"/>
  <sheetViews>
    <sheetView showGridLines="0" topLeftCell="A211" zoomScaleNormal="100" zoomScaleSheetLayoutView="55" workbookViewId="0">
      <pane xSplit="4" topLeftCell="E1" activePane="topRight" state="frozen"/>
      <selection pane="topRight" activeCell="G223" sqref="G223"/>
    </sheetView>
  </sheetViews>
  <sheetFormatPr baseColWidth="10" defaultColWidth="11.42578125" defaultRowHeight="39.950000000000003" customHeight="1" x14ac:dyDescent="0.2"/>
  <cols>
    <col min="1" max="1" width="9.7109375" style="113" customWidth="1"/>
    <col min="2" max="2" width="38.85546875" style="144" customWidth="1"/>
    <col min="3" max="3" width="11.7109375" style="113" customWidth="1"/>
    <col min="4" max="4" width="54.42578125" style="144" customWidth="1"/>
    <col min="5" max="5" width="20.42578125" style="144" customWidth="1"/>
    <col min="6" max="6" width="25.42578125" style="321" customWidth="1"/>
    <col min="7" max="7" width="23.140625" style="321" customWidth="1"/>
    <col min="8" max="8" width="19.85546875" style="111" customWidth="1"/>
    <col min="9" max="9" width="17.140625" style="110" customWidth="1"/>
    <col min="10" max="10" width="16.85546875" style="110" customWidth="1"/>
    <col min="11" max="11" width="16.140625" style="110" customWidth="1"/>
    <col min="12" max="12" width="17.28515625" style="110" customWidth="1"/>
    <col min="13" max="13" width="26.140625" style="110" customWidth="1"/>
    <col min="14" max="14" width="16.42578125" style="110" customWidth="1"/>
    <col min="15" max="15" width="14.140625" style="110" customWidth="1"/>
    <col min="16" max="16" width="19" style="110" customWidth="1"/>
    <col min="17" max="17" width="20" style="110" customWidth="1"/>
    <col min="18" max="18" width="20.140625" style="110" customWidth="1"/>
    <col min="19" max="16384" width="11.42578125" style="110"/>
  </cols>
  <sheetData>
    <row r="1" spans="1:19" ht="39.950000000000003" customHeight="1" x14ac:dyDescent="0.2">
      <c r="B1" s="143"/>
      <c r="C1" s="133"/>
    </row>
    <row r="2" spans="1:19" ht="31.5" customHeight="1" x14ac:dyDescent="0.2">
      <c r="A2" s="358" t="s">
        <v>324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9" ht="24.75" customHeight="1" x14ac:dyDescent="0.2">
      <c r="A3" s="359" t="s">
        <v>327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9" ht="27" customHeight="1" x14ac:dyDescent="0.2">
      <c r="A4" s="371" t="s">
        <v>661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</row>
    <row r="5" spans="1:19" ht="39.950000000000003" customHeight="1" thickBot="1" x14ac:dyDescent="0.25">
      <c r="A5" s="138"/>
      <c r="B5" s="138"/>
      <c r="C5" s="106"/>
      <c r="D5" s="143"/>
      <c r="E5" s="143"/>
      <c r="F5" s="143"/>
      <c r="G5" s="143"/>
      <c r="H5" s="106"/>
    </row>
    <row r="6" spans="1:19" ht="39.950000000000003" customHeight="1" thickBot="1" x14ac:dyDescent="0.25">
      <c r="A6" s="145"/>
      <c r="B6" s="145"/>
      <c r="C6" s="146"/>
      <c r="D6" s="147"/>
      <c r="E6" s="147"/>
      <c r="F6" s="212"/>
      <c r="G6" s="212"/>
      <c r="H6" s="148"/>
      <c r="I6" s="372" t="s">
        <v>95</v>
      </c>
      <c r="J6" s="373"/>
      <c r="K6" s="373"/>
      <c r="L6" s="374"/>
      <c r="M6" s="95"/>
      <c r="N6" s="149"/>
      <c r="O6" s="149"/>
      <c r="P6" s="149"/>
      <c r="Q6" s="149"/>
      <c r="R6" s="149"/>
    </row>
    <row r="7" spans="1:19" s="111" customFormat="1" ht="51.75" customHeight="1" thickBot="1" x14ac:dyDescent="0.25">
      <c r="A7" s="19" t="s">
        <v>0</v>
      </c>
      <c r="B7" s="19" t="s">
        <v>332</v>
      </c>
      <c r="C7" s="19" t="s">
        <v>336</v>
      </c>
      <c r="D7" s="19" t="s">
        <v>348</v>
      </c>
      <c r="E7" s="19" t="s">
        <v>89</v>
      </c>
      <c r="F7" s="19" t="s">
        <v>93</v>
      </c>
      <c r="G7" s="19" t="s">
        <v>94</v>
      </c>
      <c r="H7" s="21" t="s">
        <v>98</v>
      </c>
      <c r="I7" s="19" t="s">
        <v>1</v>
      </c>
      <c r="J7" s="19" t="s">
        <v>2</v>
      </c>
      <c r="K7" s="21" t="s">
        <v>595</v>
      </c>
      <c r="L7" s="19" t="s">
        <v>435</v>
      </c>
      <c r="M7" s="21" t="s">
        <v>436</v>
      </c>
      <c r="N7" s="21" t="s">
        <v>90</v>
      </c>
      <c r="O7" s="21" t="s">
        <v>510</v>
      </c>
      <c r="P7" s="21" t="s">
        <v>92</v>
      </c>
      <c r="Q7" s="21" t="s">
        <v>3</v>
      </c>
      <c r="R7" s="21" t="s">
        <v>91</v>
      </c>
    </row>
    <row r="8" spans="1:19" s="111" customFormat="1" ht="39.950000000000003" customHeight="1" thickBot="1" x14ac:dyDescent="0.25">
      <c r="A8" s="150" t="s">
        <v>294</v>
      </c>
      <c r="B8" s="151"/>
      <c r="C8" s="151"/>
      <c r="D8" s="151"/>
      <c r="E8" s="151"/>
      <c r="F8" s="322"/>
      <c r="G8" s="322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1:19" s="115" customFormat="1" ht="39.950000000000003" customHeight="1" x14ac:dyDescent="0.2">
      <c r="A9" s="152">
        <v>1</v>
      </c>
      <c r="B9" s="116" t="s">
        <v>295</v>
      </c>
      <c r="C9" s="130" t="s">
        <v>334</v>
      </c>
      <c r="D9" s="153" t="s">
        <v>485</v>
      </c>
      <c r="E9" s="153" t="s">
        <v>178</v>
      </c>
      <c r="F9" s="154" t="s">
        <v>623</v>
      </c>
      <c r="G9" s="154" t="s">
        <v>662</v>
      </c>
      <c r="H9" s="155">
        <v>200000</v>
      </c>
      <c r="I9" s="116">
        <v>5740</v>
      </c>
      <c r="J9" s="116">
        <v>6080</v>
      </c>
      <c r="K9" s="116"/>
      <c r="L9" s="116">
        <f>+J9+I9+K9</f>
        <v>11820</v>
      </c>
      <c r="M9" s="116">
        <f>+H9-L9</f>
        <v>188180</v>
      </c>
      <c r="N9" s="116">
        <f>+IF(M9*12&lt;=416220.01,0,IF(M9*12&lt;=624329.01,(((M9*12-416220.01)*0.15)/12),IF((M9*12&lt;=867123.01),(31216+0.2*(M9*12-624329.01))/12,((79776+0.25*(M9*12-867123.01))/12))))-O9</f>
        <v>35627.937291666669</v>
      </c>
      <c r="O9" s="116"/>
      <c r="P9" s="155">
        <v>25</v>
      </c>
      <c r="Q9" s="116">
        <f>+P9+N9+L9</f>
        <v>47472.937291666669</v>
      </c>
      <c r="R9" s="155">
        <f>+H9-Q9</f>
        <v>152527.06270833334</v>
      </c>
    </row>
    <row r="10" spans="1:19" s="115" customFormat="1" ht="39.950000000000003" customHeight="1" x14ac:dyDescent="0.2">
      <c r="A10" s="156">
        <v>2</v>
      </c>
      <c r="B10" s="157" t="s">
        <v>296</v>
      </c>
      <c r="C10" s="130" t="s">
        <v>334</v>
      </c>
      <c r="D10" s="153" t="s">
        <v>333</v>
      </c>
      <c r="E10" s="153" t="s">
        <v>178</v>
      </c>
      <c r="F10" s="320" t="s">
        <v>616</v>
      </c>
      <c r="G10" s="320" t="s">
        <v>657</v>
      </c>
      <c r="H10" s="158">
        <v>140000</v>
      </c>
      <c r="I10" s="116">
        <f>H10*2.87%</f>
        <v>4018</v>
      </c>
      <c r="J10" s="116">
        <f>+H10*3.04%</f>
        <v>4256</v>
      </c>
      <c r="K10" s="116"/>
      <c r="L10" s="116">
        <f>+J10+I10+K10</f>
        <v>8274</v>
      </c>
      <c r="M10" s="116">
        <f>+H10-L10</f>
        <v>131726</v>
      </c>
      <c r="N10" s="116">
        <f>+IF(M10*12&lt;=416220.01,0,IF(M10*12&lt;=624329.01,(((M10*12-416220.01)*0.15)/12),IF((M10*12&lt;=867123.01),(31216+0.2*(M10*12-624329.01))/12,((79776+0.25*(M10*12-867123.01))/12))))-O10</f>
        <v>21514.437291666665</v>
      </c>
      <c r="O10" s="116"/>
      <c r="P10" s="155">
        <v>25</v>
      </c>
      <c r="Q10" s="116">
        <f>+P10+N10+L10</f>
        <v>29813.437291666665</v>
      </c>
      <c r="R10" s="159">
        <f>+H10-Q10</f>
        <v>110186.56270833334</v>
      </c>
    </row>
    <row r="11" spans="1:19" s="115" customFormat="1" ht="39.950000000000003" customHeight="1" x14ac:dyDescent="0.2">
      <c r="A11" s="366" t="s">
        <v>99</v>
      </c>
      <c r="B11" s="367"/>
      <c r="C11" s="100"/>
      <c r="D11" s="100"/>
      <c r="E11" s="100"/>
      <c r="F11" s="323"/>
      <c r="G11" s="323"/>
      <c r="H11" s="101">
        <f>SUM(H9:H10)</f>
        <v>340000</v>
      </c>
      <c r="I11" s="101">
        <f t="shared" ref="I11:Q11" si="0">SUM(I9:I10)</f>
        <v>9758</v>
      </c>
      <c r="J11" s="101">
        <f t="shared" si="0"/>
        <v>10336</v>
      </c>
      <c r="K11" s="101">
        <f t="shared" si="0"/>
        <v>0</v>
      </c>
      <c r="L11" s="101">
        <f t="shared" si="0"/>
        <v>20094</v>
      </c>
      <c r="M11" s="101">
        <f t="shared" si="0"/>
        <v>319906</v>
      </c>
      <c r="N11" s="101">
        <f t="shared" si="0"/>
        <v>57142.374583333338</v>
      </c>
      <c r="O11" s="101">
        <f t="shared" si="0"/>
        <v>0</v>
      </c>
      <c r="P11" s="101">
        <f t="shared" si="0"/>
        <v>50</v>
      </c>
      <c r="Q11" s="101">
        <f t="shared" si="0"/>
        <v>77286.374583333338</v>
      </c>
      <c r="R11" s="101">
        <f>SUM(R9:R10)</f>
        <v>262713.62541666668</v>
      </c>
      <c r="S11" s="344"/>
    </row>
    <row r="12" spans="1:19" s="111" customFormat="1" ht="39.950000000000003" customHeight="1" thickBot="1" x14ac:dyDescent="0.25">
      <c r="A12" s="98"/>
      <c r="B12" s="98"/>
      <c r="C12" s="133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</row>
    <row r="13" spans="1:19" s="111" customFormat="1" ht="39.950000000000003" customHeight="1" thickBot="1" x14ac:dyDescent="0.25">
      <c r="A13" s="150" t="s">
        <v>242</v>
      </c>
      <c r="B13" s="151"/>
      <c r="C13" s="151"/>
      <c r="D13" s="151"/>
      <c r="E13" s="151"/>
      <c r="F13" s="322"/>
      <c r="G13" s="322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</row>
    <row r="14" spans="1:19" s="111" customFormat="1" ht="39.950000000000003" customHeight="1" x14ac:dyDescent="0.2">
      <c r="A14" s="108">
        <f>+A10+1</f>
        <v>3</v>
      </c>
      <c r="B14" s="160" t="s">
        <v>432</v>
      </c>
      <c r="C14" s="135" t="s">
        <v>335</v>
      </c>
      <c r="D14" s="107" t="s">
        <v>499</v>
      </c>
      <c r="E14" s="153" t="s">
        <v>178</v>
      </c>
      <c r="F14" s="174" t="s">
        <v>628</v>
      </c>
      <c r="G14" s="174" t="s">
        <v>655</v>
      </c>
      <c r="H14" s="164">
        <v>180000</v>
      </c>
      <c r="I14" s="105">
        <f>H14*2.87%</f>
        <v>5166</v>
      </c>
      <c r="J14" s="105">
        <f>+H14*3.04%</f>
        <v>5472</v>
      </c>
      <c r="K14" s="105"/>
      <c r="L14" s="116">
        <f>+J14+I14+K14</f>
        <v>10638</v>
      </c>
      <c r="M14" s="116">
        <f>+H14-L14</f>
        <v>169362</v>
      </c>
      <c r="N14" s="116">
        <f t="shared" ref="N14:N18" si="1">+IF(M14*12&lt;=416220.01,0,IF(M14*12&lt;=624329.01,(((M14*12-416220.01)*0.15)/12),IF((M14*12&lt;=867123.01),(31216+0.2*(M14*12-624329.01))/12,((79776+0.25*(M14*12-867123.01))/12))))-O14</f>
        <v>30923.437291666665</v>
      </c>
      <c r="O14" s="116"/>
      <c r="P14" s="117">
        <v>25</v>
      </c>
      <c r="Q14" s="116">
        <f t="shared" ref="Q14:Q19" si="2">+P14+N14+L14</f>
        <v>41586.437291666662</v>
      </c>
      <c r="R14" s="117">
        <f t="shared" ref="R14:R19" si="3">H14-Q14</f>
        <v>138413.56270833334</v>
      </c>
    </row>
    <row r="15" spans="1:19" s="115" customFormat="1" ht="39.950000000000003" customHeight="1" x14ac:dyDescent="0.2">
      <c r="A15" s="108">
        <f>+A14+1</f>
        <v>4</v>
      </c>
      <c r="B15" s="160" t="s">
        <v>433</v>
      </c>
      <c r="C15" s="135" t="s">
        <v>334</v>
      </c>
      <c r="D15" s="107" t="s">
        <v>420</v>
      </c>
      <c r="E15" s="153" t="s">
        <v>178</v>
      </c>
      <c r="F15" s="174" t="s">
        <v>603</v>
      </c>
      <c r="G15" s="174" t="s">
        <v>643</v>
      </c>
      <c r="H15" s="164">
        <v>80000</v>
      </c>
      <c r="I15" s="105">
        <f>H15*2.87%</f>
        <v>2296</v>
      </c>
      <c r="J15" s="105">
        <f>+H15*3.04%</f>
        <v>2432</v>
      </c>
      <c r="K15" s="105"/>
      <c r="L15" s="116">
        <f t="shared" ref="L15" si="4">+J15+I15+K15</f>
        <v>4728</v>
      </c>
      <c r="M15" s="116">
        <f t="shared" ref="M15" si="5">+H15-L15</f>
        <v>75272</v>
      </c>
      <c r="N15" s="116">
        <f t="shared" si="1"/>
        <v>7400.9372916666662</v>
      </c>
      <c r="O15" s="116">
        <v>0</v>
      </c>
      <c r="P15" s="117">
        <v>25</v>
      </c>
      <c r="Q15" s="116">
        <f t="shared" si="2"/>
        <v>12153.937291666665</v>
      </c>
      <c r="R15" s="117">
        <f t="shared" si="3"/>
        <v>67846.062708333338</v>
      </c>
    </row>
    <row r="16" spans="1:19" s="115" customFormat="1" ht="39.950000000000003" customHeight="1" x14ac:dyDescent="0.2">
      <c r="A16" s="152">
        <f>+A15+1</f>
        <v>5</v>
      </c>
      <c r="B16" s="157" t="s">
        <v>414</v>
      </c>
      <c r="C16" s="130" t="s">
        <v>334</v>
      </c>
      <c r="D16" s="153" t="s">
        <v>523</v>
      </c>
      <c r="E16" s="153" t="s">
        <v>178</v>
      </c>
      <c r="F16" s="174" t="s">
        <v>628</v>
      </c>
      <c r="G16" s="174" t="s">
        <v>655</v>
      </c>
      <c r="H16" s="158">
        <v>80000</v>
      </c>
      <c r="I16" s="105">
        <f>H16*2.87%</f>
        <v>2296</v>
      </c>
      <c r="J16" s="105">
        <f>+H16*3.04%</f>
        <v>2432</v>
      </c>
      <c r="K16" s="105"/>
      <c r="L16" s="116">
        <f>+J16+I16+K16</f>
        <v>4728</v>
      </c>
      <c r="M16" s="116">
        <f>+H16-L16</f>
        <v>75272</v>
      </c>
      <c r="N16" s="116">
        <f t="shared" si="1"/>
        <v>7400.9372916666662</v>
      </c>
      <c r="O16" s="116">
        <v>0</v>
      </c>
      <c r="P16" s="117">
        <v>1640.38</v>
      </c>
      <c r="Q16" s="116">
        <f t="shared" si="2"/>
        <v>13769.317291666666</v>
      </c>
      <c r="R16" s="117">
        <f t="shared" si="3"/>
        <v>66230.682708333334</v>
      </c>
    </row>
    <row r="17" spans="1:19" s="115" customFormat="1" ht="39.950000000000003" customHeight="1" x14ac:dyDescent="0.2">
      <c r="A17" s="152">
        <f t="shared" ref="A17:A18" si="6">+A16+1</f>
        <v>6</v>
      </c>
      <c r="B17" s="157" t="s">
        <v>293</v>
      </c>
      <c r="C17" s="130" t="s">
        <v>335</v>
      </c>
      <c r="D17" s="153" t="s">
        <v>523</v>
      </c>
      <c r="E17" s="153" t="s">
        <v>178</v>
      </c>
      <c r="F17" s="154" t="s">
        <v>593</v>
      </c>
      <c r="G17" s="154" t="s">
        <v>623</v>
      </c>
      <c r="H17" s="158">
        <v>80000</v>
      </c>
      <c r="I17" s="105">
        <f t="shared" ref="I17:I19" si="7">H17*2.87%</f>
        <v>2296</v>
      </c>
      <c r="J17" s="105">
        <f t="shared" ref="J17:J19" si="8">+H17*3.04%</f>
        <v>2432</v>
      </c>
      <c r="K17" s="105"/>
      <c r="L17" s="116">
        <f t="shared" ref="L17:L19" si="9">+J17+I17+K17</f>
        <v>4728</v>
      </c>
      <c r="M17" s="116">
        <f t="shared" ref="M17:M19" si="10">+H17-L17</f>
        <v>75272</v>
      </c>
      <c r="N17" s="116">
        <f t="shared" si="1"/>
        <v>7400.9372916666662</v>
      </c>
      <c r="O17" s="116">
        <v>0</v>
      </c>
      <c r="P17" s="159">
        <f>200+65</f>
        <v>265</v>
      </c>
      <c r="Q17" s="116">
        <f t="shared" si="2"/>
        <v>12393.937291666665</v>
      </c>
      <c r="R17" s="117">
        <f t="shared" si="3"/>
        <v>67606.062708333338</v>
      </c>
    </row>
    <row r="18" spans="1:19" s="111" customFormat="1" ht="39.950000000000003" customHeight="1" x14ac:dyDescent="0.2">
      <c r="A18" s="108">
        <f t="shared" si="6"/>
        <v>7</v>
      </c>
      <c r="B18" s="167" t="s">
        <v>524</v>
      </c>
      <c r="C18" s="135" t="s">
        <v>335</v>
      </c>
      <c r="D18" s="107" t="s">
        <v>523</v>
      </c>
      <c r="E18" s="153" t="s">
        <v>178</v>
      </c>
      <c r="F18" s="154" t="s">
        <v>623</v>
      </c>
      <c r="G18" s="154" t="s">
        <v>662</v>
      </c>
      <c r="H18" s="164">
        <v>80000</v>
      </c>
      <c r="I18" s="105">
        <f t="shared" si="7"/>
        <v>2296</v>
      </c>
      <c r="J18" s="105">
        <f t="shared" si="8"/>
        <v>2432</v>
      </c>
      <c r="K18" s="105"/>
      <c r="L18" s="116">
        <f t="shared" si="9"/>
        <v>4728</v>
      </c>
      <c r="M18" s="116">
        <f t="shared" si="10"/>
        <v>75272</v>
      </c>
      <c r="N18" s="116">
        <f t="shared" si="1"/>
        <v>7400.9372916666662</v>
      </c>
      <c r="O18" s="116">
        <v>0</v>
      </c>
      <c r="P18" s="159">
        <v>225</v>
      </c>
      <c r="Q18" s="116">
        <f t="shared" si="2"/>
        <v>12353.937291666665</v>
      </c>
      <c r="R18" s="117">
        <f t="shared" si="3"/>
        <v>67646.062708333338</v>
      </c>
    </row>
    <row r="19" spans="1:19" s="111" customFormat="1" ht="39.950000000000003" customHeight="1" x14ac:dyDescent="0.2">
      <c r="A19" s="108">
        <f>+A18+1</f>
        <v>8</v>
      </c>
      <c r="B19" s="167" t="s">
        <v>563</v>
      </c>
      <c r="C19" s="135" t="s">
        <v>334</v>
      </c>
      <c r="D19" s="107" t="s">
        <v>523</v>
      </c>
      <c r="E19" s="153" t="s">
        <v>178</v>
      </c>
      <c r="F19" s="174" t="s">
        <v>603</v>
      </c>
      <c r="G19" s="174" t="s">
        <v>643</v>
      </c>
      <c r="H19" s="164">
        <v>80000</v>
      </c>
      <c r="I19" s="105">
        <f t="shared" si="7"/>
        <v>2296</v>
      </c>
      <c r="J19" s="105">
        <f t="shared" si="8"/>
        <v>2432</v>
      </c>
      <c r="K19" s="105"/>
      <c r="L19" s="116">
        <f t="shared" si="9"/>
        <v>4728</v>
      </c>
      <c r="M19" s="116">
        <f t="shared" si="10"/>
        <v>75272</v>
      </c>
      <c r="N19" s="116">
        <v>2297.12</v>
      </c>
      <c r="O19" s="116"/>
      <c r="P19" s="159">
        <v>4525</v>
      </c>
      <c r="Q19" s="116">
        <f t="shared" si="2"/>
        <v>11550.119999999999</v>
      </c>
      <c r="R19" s="117">
        <f t="shared" si="3"/>
        <v>68449.88</v>
      </c>
    </row>
    <row r="20" spans="1:19" s="111" customFormat="1" ht="39.950000000000003" customHeight="1" x14ac:dyDescent="0.2">
      <c r="A20" s="366" t="s">
        <v>99</v>
      </c>
      <c r="B20" s="367"/>
      <c r="C20" s="100"/>
      <c r="D20" s="100"/>
      <c r="E20" s="100"/>
      <c r="F20" s="323"/>
      <c r="G20" s="323"/>
      <c r="H20" s="101">
        <f>SUM(H14:H19)</f>
        <v>580000</v>
      </c>
      <c r="I20" s="101">
        <f>SUM(I14:I19)</f>
        <v>16646</v>
      </c>
      <c r="J20" s="101">
        <f>SUM(J14:J19)</f>
        <v>17632</v>
      </c>
      <c r="K20" s="101">
        <f>SUM(K14:K18)</f>
        <v>0</v>
      </c>
      <c r="L20" s="101">
        <f>SUM(L14:L19)</f>
        <v>34278</v>
      </c>
      <c r="M20" s="101">
        <f>SUM(M14:M19)</f>
        <v>545722</v>
      </c>
      <c r="N20" s="101">
        <f>SUM(N14:N19)</f>
        <v>62824.30645833334</v>
      </c>
      <c r="O20" s="101">
        <f>SUM(O14:O18)</f>
        <v>0</v>
      </c>
      <c r="P20" s="101">
        <f>SUM(P14:P19)</f>
        <v>6705.38</v>
      </c>
      <c r="Q20" s="101">
        <f t="shared" ref="Q20:R20" si="11">SUM(Q14:Q19)</f>
        <v>103807.68645833331</v>
      </c>
      <c r="R20" s="101">
        <f t="shared" si="11"/>
        <v>476192.31354166672</v>
      </c>
      <c r="S20" s="344"/>
    </row>
    <row r="21" spans="1:19" s="169" customFormat="1" ht="39.950000000000003" customHeight="1" thickBot="1" x14ac:dyDescent="0.25">
      <c r="A21" s="168"/>
      <c r="B21" s="168"/>
      <c r="C21" s="168"/>
      <c r="D21" s="168"/>
      <c r="E21" s="168"/>
      <c r="F21" s="173"/>
      <c r="G21" s="173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9" s="115" customFormat="1" ht="39.950000000000003" customHeight="1" thickBot="1" x14ac:dyDescent="0.25">
      <c r="A22" s="150" t="s">
        <v>68</v>
      </c>
      <c r="B22" s="151"/>
      <c r="C22" s="151"/>
      <c r="D22" s="151"/>
      <c r="E22" s="151"/>
      <c r="F22" s="322"/>
      <c r="G22" s="322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</row>
    <row r="23" spans="1:19" s="115" customFormat="1" ht="39.950000000000003" customHeight="1" x14ac:dyDescent="0.2">
      <c r="A23" s="156">
        <f>+A19+1</f>
        <v>9</v>
      </c>
      <c r="B23" s="157" t="s">
        <v>297</v>
      </c>
      <c r="C23" s="130" t="s">
        <v>334</v>
      </c>
      <c r="D23" s="107" t="s">
        <v>498</v>
      </c>
      <c r="E23" s="153" t="s">
        <v>178</v>
      </c>
      <c r="F23" s="174" t="s">
        <v>604</v>
      </c>
      <c r="G23" s="174" t="s">
        <v>633</v>
      </c>
      <c r="H23" s="155">
        <v>180000</v>
      </c>
      <c r="I23" s="118">
        <f>H23*2.87%</f>
        <v>5166</v>
      </c>
      <c r="J23" s="170">
        <f>+H23*3.04%</f>
        <v>5472</v>
      </c>
      <c r="K23" s="118"/>
      <c r="L23" s="116">
        <f>+J23+I23+K23</f>
        <v>10638</v>
      </c>
      <c r="M23" s="116">
        <f>+H23-L23</f>
        <v>169362</v>
      </c>
      <c r="N23" s="116">
        <f>+IF(M23*12&lt;=416220.01,0,IF(M23*12&lt;=624329.01,(((M23*12-416220.01)*0.15)/12),IF((M23*12&lt;=867123.01),(31216+0.2*(M23*12-624329.01))/12,((79776+0.25*(M23*12-867123.01))/12))))-O23</f>
        <v>30923.437291666665</v>
      </c>
      <c r="O23" s="116"/>
      <c r="P23" s="116">
        <v>25</v>
      </c>
      <c r="Q23" s="116">
        <f>+P23+N23+L23</f>
        <v>41586.437291666662</v>
      </c>
      <c r="R23" s="155">
        <f>+H23-Q23</f>
        <v>138413.56270833334</v>
      </c>
    </row>
    <row r="24" spans="1:19" s="111" customFormat="1" ht="39.950000000000003" customHeight="1" x14ac:dyDescent="0.2">
      <c r="A24" s="156">
        <f>+A23+1</f>
        <v>10</v>
      </c>
      <c r="B24" s="157" t="s">
        <v>299</v>
      </c>
      <c r="C24" s="130" t="s">
        <v>334</v>
      </c>
      <c r="D24" s="107" t="s">
        <v>115</v>
      </c>
      <c r="E24" s="153" t="s">
        <v>178</v>
      </c>
      <c r="F24" s="320" t="s">
        <v>617</v>
      </c>
      <c r="G24" s="320" t="s">
        <v>658</v>
      </c>
      <c r="H24" s="155">
        <v>110000</v>
      </c>
      <c r="I24" s="118">
        <f>H24*2.87%</f>
        <v>3157</v>
      </c>
      <c r="J24" s="97">
        <f>+H24*3.04%</f>
        <v>3344</v>
      </c>
      <c r="K24" s="118"/>
      <c r="L24" s="116">
        <f>+J24+I24+K24</f>
        <v>6501</v>
      </c>
      <c r="M24" s="116">
        <f>+H24-L24</f>
        <v>103499</v>
      </c>
      <c r="N24" s="116">
        <f>+IF(M24*12&lt;=416220.01,0,IF(M24*12&lt;=624329.01,(((M24*12-416220.01)*0.15)/12),IF((M24*12&lt;=867123.01),(31216+0.2*(M24*12-624329.01))/12,((79776+0.25*(M24*12-867123.01))/12))))-O24</f>
        <v>14457.687291666667</v>
      </c>
      <c r="O24" s="116"/>
      <c r="P24" s="155">
        <v>225</v>
      </c>
      <c r="Q24" s="116">
        <f t="shared" ref="Q24:Q25" si="12">+P24+N24+L24</f>
        <v>21183.687291666669</v>
      </c>
      <c r="R24" s="155">
        <f t="shared" ref="R24:R25" si="13">+H24-Q24</f>
        <v>88816.312708333338</v>
      </c>
    </row>
    <row r="25" spans="1:19" s="111" customFormat="1" ht="39.950000000000003" customHeight="1" x14ac:dyDescent="0.2">
      <c r="A25" s="156">
        <f>+A24+1</f>
        <v>11</v>
      </c>
      <c r="B25" s="157" t="s">
        <v>454</v>
      </c>
      <c r="C25" s="130" t="s">
        <v>334</v>
      </c>
      <c r="D25" s="107" t="s">
        <v>115</v>
      </c>
      <c r="E25" s="153" t="s">
        <v>178</v>
      </c>
      <c r="F25" s="174" t="s">
        <v>614</v>
      </c>
      <c r="G25" s="174" t="s">
        <v>645</v>
      </c>
      <c r="H25" s="155">
        <v>80000</v>
      </c>
      <c r="I25" s="118">
        <f>H25*2.87%</f>
        <v>2296</v>
      </c>
      <c r="J25" s="118">
        <f>+H25*3.04%</f>
        <v>2432</v>
      </c>
      <c r="K25" s="118"/>
      <c r="L25" s="116">
        <f>+J25+I25+K25</f>
        <v>4728</v>
      </c>
      <c r="M25" s="116">
        <f>+H25-L25</f>
        <v>75272</v>
      </c>
      <c r="N25" s="116">
        <f>+IF(M25*12&lt;=416220.01,0,IF(M25*12&lt;=624329.01,(((M25*12-416220.01)*0.15)/12),IF((M25*12&lt;=867123.01),(31216+0.2*(M25*12-624329.01))/12,((79776+0.25*(M25*12-867123.01))/12))))-O25</f>
        <v>7400.9372916666662</v>
      </c>
      <c r="O25" s="116"/>
      <c r="P25" s="155">
        <f>40+25</f>
        <v>65</v>
      </c>
      <c r="Q25" s="116">
        <f t="shared" si="12"/>
        <v>12193.937291666665</v>
      </c>
      <c r="R25" s="155">
        <f t="shared" si="13"/>
        <v>67806.062708333338</v>
      </c>
    </row>
    <row r="26" spans="1:19" s="111" customFormat="1" ht="39.950000000000003" customHeight="1" x14ac:dyDescent="0.2">
      <c r="A26" s="366" t="s">
        <v>99</v>
      </c>
      <c r="B26" s="367"/>
      <c r="C26" s="100"/>
      <c r="D26" s="100"/>
      <c r="E26" s="100"/>
      <c r="F26" s="323"/>
      <c r="G26" s="323"/>
      <c r="H26" s="101">
        <f>SUM(H23:H25)</f>
        <v>370000</v>
      </c>
      <c r="I26" s="101">
        <f t="shared" ref="I26:R26" si="14">SUM(I23:I25)</f>
        <v>10619</v>
      </c>
      <c r="J26" s="101">
        <f t="shared" si="14"/>
        <v>11248</v>
      </c>
      <c r="K26" s="101">
        <f t="shared" si="14"/>
        <v>0</v>
      </c>
      <c r="L26" s="101">
        <f t="shared" si="14"/>
        <v>21867</v>
      </c>
      <c r="M26" s="101">
        <f t="shared" si="14"/>
        <v>348133</v>
      </c>
      <c r="N26" s="101">
        <f t="shared" si="14"/>
        <v>52782.061874999999</v>
      </c>
      <c r="O26" s="101">
        <f t="shared" si="14"/>
        <v>0</v>
      </c>
      <c r="P26" s="101">
        <f t="shared" si="14"/>
        <v>315</v>
      </c>
      <c r="Q26" s="101">
        <f t="shared" si="14"/>
        <v>74964.061874999999</v>
      </c>
      <c r="R26" s="101">
        <f t="shared" si="14"/>
        <v>295035.93812499999</v>
      </c>
      <c r="S26" s="344"/>
    </row>
    <row r="27" spans="1:19" s="169" customFormat="1" ht="39.950000000000003" customHeight="1" thickBot="1" x14ac:dyDescent="0.25">
      <c r="A27" s="168"/>
      <c r="B27" s="168"/>
      <c r="C27" s="168"/>
      <c r="D27" s="168"/>
      <c r="E27" s="168"/>
      <c r="F27" s="173"/>
      <c r="G27" s="173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</row>
    <row r="28" spans="1:19" s="114" customFormat="1" ht="39.950000000000003" customHeight="1" thickBot="1" x14ac:dyDescent="0.25">
      <c r="A28" s="150" t="s">
        <v>300</v>
      </c>
      <c r="B28" s="151"/>
      <c r="C28" s="151"/>
      <c r="D28" s="151"/>
      <c r="E28" s="151"/>
      <c r="F28" s="322"/>
      <c r="G28" s="322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</row>
    <row r="29" spans="1:19" s="114" customFormat="1" ht="39.950000000000003" customHeight="1" x14ac:dyDescent="0.2">
      <c r="A29" s="156">
        <f>+A25+1</f>
        <v>12</v>
      </c>
      <c r="B29" s="141" t="s">
        <v>298</v>
      </c>
      <c r="C29" s="129" t="s">
        <v>334</v>
      </c>
      <c r="D29" s="174" t="s">
        <v>409</v>
      </c>
      <c r="E29" s="174" t="s">
        <v>178</v>
      </c>
      <c r="F29" s="154" t="s">
        <v>623</v>
      </c>
      <c r="G29" s="154" t="s">
        <v>662</v>
      </c>
      <c r="H29" s="162">
        <v>115000</v>
      </c>
      <c r="I29" s="116">
        <f>H29*2.87%</f>
        <v>3300.5</v>
      </c>
      <c r="J29" s="116">
        <f>+H29*3.04%</f>
        <v>3496</v>
      </c>
      <c r="K29" s="116"/>
      <c r="L29" s="116">
        <f t="shared" ref="L29:L34" si="15">+J29+I29+K29</f>
        <v>6796.5</v>
      </c>
      <c r="M29" s="116">
        <f t="shared" ref="M29:M34" si="16">+H29-L29</f>
        <v>108203.5</v>
      </c>
      <c r="N29" s="116">
        <f t="shared" ref="N29:N34" si="17">+IF(M29*12&lt;=416220.01,0,IF(M29*12&lt;=624329.01,(((M29*12-416220.01)*0.15)/12),IF((M29*12&lt;=867123.01),(31216+0.2*(M29*12-624329.01))/12,((79776+0.25*(M29*12-867123.01))/12))))-O29</f>
        <v>15633.812291666667</v>
      </c>
      <c r="O29" s="116"/>
      <c r="P29" s="159">
        <v>24005.75</v>
      </c>
      <c r="Q29" s="116">
        <f t="shared" ref="Q29:Q34" si="18">+P29+N29+L29</f>
        <v>46436.062291666669</v>
      </c>
      <c r="R29" s="159">
        <f t="shared" ref="R29:R34" si="19">+H29-Q29</f>
        <v>68563.937708333338</v>
      </c>
    </row>
    <row r="30" spans="1:19" s="111" customFormat="1" ht="39.950000000000003" customHeight="1" x14ac:dyDescent="0.2">
      <c r="A30" s="156">
        <f>+A29+1</f>
        <v>13</v>
      </c>
      <c r="B30" s="141" t="s">
        <v>180</v>
      </c>
      <c r="C30" s="129" t="s">
        <v>334</v>
      </c>
      <c r="D30" s="174" t="s">
        <v>494</v>
      </c>
      <c r="E30" s="174" t="s">
        <v>178</v>
      </c>
      <c r="F30" s="320" t="s">
        <v>617</v>
      </c>
      <c r="G30" s="320" t="s">
        <v>658</v>
      </c>
      <c r="H30" s="162">
        <v>100000</v>
      </c>
      <c r="I30" s="116">
        <f>H30*2.87%</f>
        <v>2870</v>
      </c>
      <c r="J30" s="118">
        <f>+H30*3.04%</f>
        <v>3040</v>
      </c>
      <c r="K30" s="118">
        <f>1919.78*2</f>
        <v>3839.56</v>
      </c>
      <c r="L30" s="118">
        <f t="shared" si="15"/>
        <v>9749.56</v>
      </c>
      <c r="M30" s="116">
        <f t="shared" si="16"/>
        <v>90250.44</v>
      </c>
      <c r="N30" s="116">
        <f t="shared" si="17"/>
        <v>11145.547291666668</v>
      </c>
      <c r="O30" s="116"/>
      <c r="P30" s="159">
        <v>25</v>
      </c>
      <c r="Q30" s="116">
        <f t="shared" si="18"/>
        <v>20920.107291666667</v>
      </c>
      <c r="R30" s="159">
        <f t="shared" si="19"/>
        <v>79079.892708333326</v>
      </c>
    </row>
    <row r="31" spans="1:19" s="111" customFormat="1" ht="39.950000000000003" customHeight="1" x14ac:dyDescent="0.2">
      <c r="A31" s="156">
        <f>+A30+1</f>
        <v>14</v>
      </c>
      <c r="B31" s="141" t="s">
        <v>493</v>
      </c>
      <c r="C31" s="129" t="s">
        <v>334</v>
      </c>
      <c r="D31" s="174" t="s">
        <v>494</v>
      </c>
      <c r="E31" s="174" t="s">
        <v>178</v>
      </c>
      <c r="F31" s="154" t="s">
        <v>623</v>
      </c>
      <c r="G31" s="154" t="s">
        <v>662</v>
      </c>
      <c r="H31" s="162">
        <v>90000</v>
      </c>
      <c r="I31" s="116">
        <f>H31*2.87%</f>
        <v>2583</v>
      </c>
      <c r="J31" s="116">
        <f>+H31*3.04%</f>
        <v>2736</v>
      </c>
      <c r="K31" s="116">
        <v>1919.78</v>
      </c>
      <c r="L31" s="116">
        <f t="shared" si="15"/>
        <v>7238.78</v>
      </c>
      <c r="M31" s="116">
        <f t="shared" si="16"/>
        <v>82761.22</v>
      </c>
      <c r="N31" s="116">
        <f t="shared" si="17"/>
        <v>9273.2422916666674</v>
      </c>
      <c r="O31" s="116"/>
      <c r="P31" s="159">
        <v>25</v>
      </c>
      <c r="Q31" s="116">
        <f t="shared" si="18"/>
        <v>16537.022291666668</v>
      </c>
      <c r="R31" s="159">
        <f t="shared" si="19"/>
        <v>73462.977708333332</v>
      </c>
    </row>
    <row r="32" spans="1:19" s="169" customFormat="1" ht="39.950000000000003" customHeight="1" x14ac:dyDescent="0.2">
      <c r="A32" s="156">
        <f>+A31+1</f>
        <v>15</v>
      </c>
      <c r="B32" s="141" t="s">
        <v>309</v>
      </c>
      <c r="C32" s="129" t="s">
        <v>335</v>
      </c>
      <c r="D32" s="174" t="s">
        <v>494</v>
      </c>
      <c r="E32" s="174" t="s">
        <v>178</v>
      </c>
      <c r="F32" s="174" t="s">
        <v>603</v>
      </c>
      <c r="G32" s="174" t="s">
        <v>643</v>
      </c>
      <c r="H32" s="162">
        <v>80000</v>
      </c>
      <c r="I32" s="118">
        <f t="shared" ref="I32" si="20">H32*2.87%</f>
        <v>2296</v>
      </c>
      <c r="J32" s="116">
        <f t="shared" ref="J32" si="21">+H32*3.04%</f>
        <v>2432</v>
      </c>
      <c r="K32" s="116"/>
      <c r="L32" s="116">
        <f t="shared" si="15"/>
        <v>4728</v>
      </c>
      <c r="M32" s="116">
        <f t="shared" si="16"/>
        <v>75272</v>
      </c>
      <c r="N32" s="116">
        <f t="shared" si="17"/>
        <v>7400.9372916666662</v>
      </c>
      <c r="O32" s="116"/>
      <c r="P32" s="159">
        <v>7982.57</v>
      </c>
      <c r="Q32" s="116">
        <f t="shared" si="18"/>
        <v>20111.507291666665</v>
      </c>
      <c r="R32" s="159">
        <f t="shared" si="19"/>
        <v>59888.492708333331</v>
      </c>
    </row>
    <row r="33" spans="1:19" s="111" customFormat="1" ht="39.950000000000003" customHeight="1" x14ac:dyDescent="0.2">
      <c r="A33" s="156">
        <f>+A32+1</f>
        <v>16</v>
      </c>
      <c r="B33" s="141" t="s">
        <v>551</v>
      </c>
      <c r="C33" s="129" t="s">
        <v>335</v>
      </c>
      <c r="D33" s="174" t="s">
        <v>494</v>
      </c>
      <c r="E33" s="174" t="s">
        <v>178</v>
      </c>
      <c r="F33" s="154" t="s">
        <v>623</v>
      </c>
      <c r="G33" s="154" t="s">
        <v>662</v>
      </c>
      <c r="H33" s="162">
        <v>80000</v>
      </c>
      <c r="I33" s="118">
        <f>H33*2.87%</f>
        <v>2296</v>
      </c>
      <c r="J33" s="118">
        <f>+H33*3.04%</f>
        <v>2432</v>
      </c>
      <c r="K33" s="116"/>
      <c r="L33" s="116">
        <f t="shared" si="15"/>
        <v>4728</v>
      </c>
      <c r="M33" s="116">
        <f t="shared" si="16"/>
        <v>75272</v>
      </c>
      <c r="N33" s="116">
        <f t="shared" si="17"/>
        <v>7400.9372916666662</v>
      </c>
      <c r="O33" s="116"/>
      <c r="P33" s="159">
        <v>25</v>
      </c>
      <c r="Q33" s="116">
        <f t="shared" si="18"/>
        <v>12153.937291666665</v>
      </c>
      <c r="R33" s="159">
        <f t="shared" si="19"/>
        <v>67846.062708333338</v>
      </c>
    </row>
    <row r="34" spans="1:19" s="111" customFormat="1" ht="39.950000000000003" customHeight="1" x14ac:dyDescent="0.2">
      <c r="A34" s="156">
        <f>+A33+1</f>
        <v>17</v>
      </c>
      <c r="B34" s="141" t="s">
        <v>620</v>
      </c>
      <c r="C34" s="129" t="s">
        <v>334</v>
      </c>
      <c r="D34" s="174" t="s">
        <v>494</v>
      </c>
      <c r="E34" s="174" t="s">
        <v>178</v>
      </c>
      <c r="F34" s="154" t="s">
        <v>623</v>
      </c>
      <c r="G34" s="154" t="s">
        <v>662</v>
      </c>
      <c r="H34" s="162">
        <v>80000</v>
      </c>
      <c r="I34" s="118">
        <f>H34*2.87%</f>
        <v>2296</v>
      </c>
      <c r="J34" s="118">
        <f>+H34*3.04%</f>
        <v>2432</v>
      </c>
      <c r="K34" s="116"/>
      <c r="L34" s="116">
        <f t="shared" si="15"/>
        <v>4728</v>
      </c>
      <c r="M34" s="116">
        <f t="shared" si="16"/>
        <v>75272</v>
      </c>
      <c r="N34" s="116">
        <f t="shared" si="17"/>
        <v>7400.9372916666662</v>
      </c>
      <c r="O34" s="116"/>
      <c r="P34" s="159">
        <v>25</v>
      </c>
      <c r="Q34" s="116">
        <f t="shared" si="18"/>
        <v>12153.937291666665</v>
      </c>
      <c r="R34" s="159">
        <f t="shared" si="19"/>
        <v>67846.062708333338</v>
      </c>
    </row>
    <row r="35" spans="1:19" s="114" customFormat="1" ht="39.950000000000003" customHeight="1" x14ac:dyDescent="0.2">
      <c r="A35" s="366" t="s">
        <v>99</v>
      </c>
      <c r="B35" s="367"/>
      <c r="C35" s="100"/>
      <c r="D35" s="100"/>
      <c r="E35" s="100"/>
      <c r="F35" s="323"/>
      <c r="G35" s="323"/>
      <c r="H35" s="101">
        <f t="shared" ref="H35:R35" si="22">SUM(H29:H34)</f>
        <v>545000</v>
      </c>
      <c r="I35" s="101">
        <f t="shared" si="22"/>
        <v>15641.5</v>
      </c>
      <c r="J35" s="101">
        <f t="shared" si="22"/>
        <v>16568</v>
      </c>
      <c r="K35" s="101">
        <f t="shared" si="22"/>
        <v>5759.34</v>
      </c>
      <c r="L35" s="101">
        <f t="shared" si="22"/>
        <v>37968.839999999997</v>
      </c>
      <c r="M35" s="101">
        <f t="shared" si="22"/>
        <v>507031.16000000003</v>
      </c>
      <c r="N35" s="101">
        <f t="shared" si="22"/>
        <v>58255.413750000007</v>
      </c>
      <c r="O35" s="101">
        <f t="shared" si="22"/>
        <v>0</v>
      </c>
      <c r="P35" s="101">
        <f t="shared" si="22"/>
        <v>32088.32</v>
      </c>
      <c r="Q35" s="101">
        <f t="shared" si="22"/>
        <v>128312.57375</v>
      </c>
      <c r="R35" s="101">
        <f t="shared" si="22"/>
        <v>416687.42625000002</v>
      </c>
      <c r="S35" s="345"/>
    </row>
    <row r="36" spans="1:19" s="111" customFormat="1" ht="39.950000000000003" customHeight="1" thickBot="1" x14ac:dyDescent="0.25">
      <c r="A36" s="168"/>
      <c r="B36" s="168"/>
      <c r="C36" s="168"/>
      <c r="D36" s="168"/>
      <c r="E36" s="168"/>
      <c r="F36" s="173"/>
      <c r="G36" s="173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  <row r="37" spans="1:19" s="169" customFormat="1" ht="39.950000000000003" customHeight="1" thickBot="1" x14ac:dyDescent="0.25">
      <c r="A37" s="150" t="s">
        <v>70</v>
      </c>
      <c r="B37" s="151"/>
      <c r="C37" s="151"/>
      <c r="D37" s="151"/>
      <c r="E37" s="151"/>
      <c r="F37" s="322"/>
      <c r="G37" s="322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</row>
    <row r="38" spans="1:19" s="114" customFormat="1" ht="39.950000000000003" customHeight="1" x14ac:dyDescent="0.2">
      <c r="A38" s="152">
        <f>+A34+1</f>
        <v>18</v>
      </c>
      <c r="B38" s="163" t="s">
        <v>343</v>
      </c>
      <c r="C38" s="152" t="s">
        <v>335</v>
      </c>
      <c r="D38" s="107" t="s">
        <v>237</v>
      </c>
      <c r="E38" s="153" t="s">
        <v>178</v>
      </c>
      <c r="F38" s="174" t="s">
        <v>604</v>
      </c>
      <c r="G38" s="174" t="s">
        <v>633</v>
      </c>
      <c r="H38" s="116">
        <v>90000</v>
      </c>
      <c r="I38" s="116">
        <f>H38*2.87%</f>
        <v>2583</v>
      </c>
      <c r="J38" s="116">
        <f>+H38*3.04%</f>
        <v>2736</v>
      </c>
      <c r="K38" s="116"/>
      <c r="L38" s="116">
        <f>+J38+I38+K38</f>
        <v>5319</v>
      </c>
      <c r="M38" s="116">
        <f t="shared" ref="M38:M44" si="23">+H38-L38</f>
        <v>84681</v>
      </c>
      <c r="N38" s="116">
        <f t="shared" ref="N38:N44" si="24">+IF(M38*12&lt;=416220.01,0,IF(M38*12&lt;=624329.01,(((M38*12-416220.01)*0.15)/12),IF((M38*12&lt;=867123.01),(31216+0.2*(M38*12-624329.01))/12,((79776+0.25*(M38*12-867123.01))/12))))-O38</f>
        <v>9753.1872916666671</v>
      </c>
      <c r="O38" s="116"/>
      <c r="P38" s="159">
        <v>225</v>
      </c>
      <c r="Q38" s="116">
        <f>+P38+N38+L38</f>
        <v>15297.187291666667</v>
      </c>
      <c r="R38" s="155">
        <f t="shared" ref="R38:R44" si="25">+H38-Q38</f>
        <v>74702.812708333338</v>
      </c>
    </row>
    <row r="39" spans="1:19" s="114" customFormat="1" ht="39.950000000000003" customHeight="1" x14ac:dyDescent="0.2">
      <c r="A39" s="152">
        <f t="shared" ref="A39:A43" si="26">+A38+1</f>
        <v>19</v>
      </c>
      <c r="B39" s="163" t="s">
        <v>387</v>
      </c>
      <c r="C39" s="152" t="s">
        <v>335</v>
      </c>
      <c r="D39" s="107" t="s">
        <v>237</v>
      </c>
      <c r="E39" s="153" t="s">
        <v>178</v>
      </c>
      <c r="F39" s="154" t="s">
        <v>623</v>
      </c>
      <c r="G39" s="154" t="s">
        <v>662</v>
      </c>
      <c r="H39" s="116">
        <v>80000</v>
      </c>
      <c r="I39" s="116">
        <f>H39*2.87%</f>
        <v>2296</v>
      </c>
      <c r="J39" s="116">
        <f>+H39*3.04%</f>
        <v>2432</v>
      </c>
      <c r="K39" s="116"/>
      <c r="L39" s="116">
        <f>+J39+I39+K39</f>
        <v>4728</v>
      </c>
      <c r="M39" s="116">
        <f t="shared" si="23"/>
        <v>75272</v>
      </c>
      <c r="N39" s="116">
        <f t="shared" si="24"/>
        <v>7400.9372916666662</v>
      </c>
      <c r="O39" s="116">
        <v>0</v>
      </c>
      <c r="P39" s="159">
        <v>2790.29</v>
      </c>
      <c r="Q39" s="116">
        <f>+P39+N39+L39</f>
        <v>14919.227291666666</v>
      </c>
      <c r="R39" s="155">
        <f t="shared" si="25"/>
        <v>65080.77270833333</v>
      </c>
    </row>
    <row r="40" spans="1:19" s="114" customFormat="1" ht="39.950000000000003" customHeight="1" x14ac:dyDescent="0.2">
      <c r="A40" s="152">
        <f t="shared" si="26"/>
        <v>20</v>
      </c>
      <c r="B40" s="163" t="s">
        <v>470</v>
      </c>
      <c r="C40" s="152" t="s">
        <v>334</v>
      </c>
      <c r="D40" s="107" t="s">
        <v>237</v>
      </c>
      <c r="E40" s="153" t="s">
        <v>178</v>
      </c>
      <c r="F40" s="174" t="s">
        <v>628</v>
      </c>
      <c r="G40" s="174" t="s">
        <v>655</v>
      </c>
      <c r="H40" s="116">
        <v>80000</v>
      </c>
      <c r="I40" s="116">
        <f>H40*2.87%</f>
        <v>2296</v>
      </c>
      <c r="J40" s="116">
        <f>+H40*3.04%</f>
        <v>2432</v>
      </c>
      <c r="K40" s="116"/>
      <c r="L40" s="116">
        <f>+J40+I40+K40</f>
        <v>4728</v>
      </c>
      <c r="M40" s="116">
        <f t="shared" si="23"/>
        <v>75272</v>
      </c>
      <c r="N40" s="116">
        <f t="shared" si="24"/>
        <v>7400.9372916666662</v>
      </c>
      <c r="O40" s="116"/>
      <c r="P40" s="159">
        <v>65</v>
      </c>
      <c r="Q40" s="116">
        <f>+P40+N40+L40</f>
        <v>12193.937291666665</v>
      </c>
      <c r="R40" s="155">
        <f t="shared" si="25"/>
        <v>67806.062708333338</v>
      </c>
    </row>
    <row r="41" spans="1:19" s="169" customFormat="1" ht="39.950000000000003" customHeight="1" x14ac:dyDescent="0.2">
      <c r="A41" s="156">
        <f t="shared" si="26"/>
        <v>21</v>
      </c>
      <c r="B41" s="163" t="s">
        <v>453</v>
      </c>
      <c r="C41" s="134" t="s">
        <v>335</v>
      </c>
      <c r="D41" s="107" t="s">
        <v>237</v>
      </c>
      <c r="E41" s="153" t="s">
        <v>178</v>
      </c>
      <c r="F41" s="154" t="s">
        <v>593</v>
      </c>
      <c r="G41" s="154" t="s">
        <v>623</v>
      </c>
      <c r="H41" s="118">
        <v>80000</v>
      </c>
      <c r="I41" s="118">
        <f t="shared" ref="I41:I44" si="27">H41*2.87%</f>
        <v>2296</v>
      </c>
      <c r="J41" s="118">
        <f t="shared" ref="J41:J44" si="28">+H41*3.04%</f>
        <v>2432</v>
      </c>
      <c r="K41" s="118"/>
      <c r="L41" s="116">
        <f>+I41+J41+K41</f>
        <v>4728</v>
      </c>
      <c r="M41" s="116">
        <f t="shared" si="23"/>
        <v>75272</v>
      </c>
      <c r="N41" s="116">
        <f t="shared" si="24"/>
        <v>7400.9372916666662</v>
      </c>
      <c r="O41" s="116"/>
      <c r="P41" s="159">
        <v>12727.5</v>
      </c>
      <c r="Q41" s="118">
        <f>+P41+K41+J41+I41+N41</f>
        <v>24856.437291666665</v>
      </c>
      <c r="R41" s="155">
        <f t="shared" si="25"/>
        <v>55143.562708333338</v>
      </c>
    </row>
    <row r="42" spans="1:19" s="169" customFormat="1" ht="39.950000000000003" customHeight="1" x14ac:dyDescent="0.2">
      <c r="A42" s="156">
        <f t="shared" si="26"/>
        <v>22</v>
      </c>
      <c r="B42" s="163" t="s">
        <v>591</v>
      </c>
      <c r="C42" s="134" t="s">
        <v>335</v>
      </c>
      <c r="D42" s="107" t="s">
        <v>237</v>
      </c>
      <c r="E42" s="153" t="s">
        <v>178</v>
      </c>
      <c r="F42" s="154" t="s">
        <v>623</v>
      </c>
      <c r="G42" s="154" t="s">
        <v>662</v>
      </c>
      <c r="H42" s="118">
        <v>80000</v>
      </c>
      <c r="I42" s="118">
        <f t="shared" si="27"/>
        <v>2296</v>
      </c>
      <c r="J42" s="118">
        <f t="shared" si="28"/>
        <v>2432</v>
      </c>
      <c r="K42" s="118"/>
      <c r="L42" s="116">
        <f>+I42+J42+K42</f>
        <v>4728</v>
      </c>
      <c r="M42" s="116">
        <f t="shared" si="23"/>
        <v>75272</v>
      </c>
      <c r="N42" s="116">
        <v>0</v>
      </c>
      <c r="O42" s="116"/>
      <c r="P42" s="159">
        <v>2090.29</v>
      </c>
      <c r="Q42" s="118">
        <f>+P42+K42+J42+I42+N42</f>
        <v>6818.29</v>
      </c>
      <c r="R42" s="155">
        <f t="shared" si="25"/>
        <v>73181.710000000006</v>
      </c>
    </row>
    <row r="43" spans="1:19" s="169" customFormat="1" ht="39.950000000000003" customHeight="1" x14ac:dyDescent="0.2">
      <c r="A43" s="156">
        <f t="shared" si="26"/>
        <v>23</v>
      </c>
      <c r="B43" s="163" t="s">
        <v>592</v>
      </c>
      <c r="C43" s="134" t="s">
        <v>335</v>
      </c>
      <c r="D43" s="107" t="s">
        <v>237</v>
      </c>
      <c r="E43" s="153" t="s">
        <v>178</v>
      </c>
      <c r="F43" s="154" t="s">
        <v>623</v>
      </c>
      <c r="G43" s="154" t="s">
        <v>662</v>
      </c>
      <c r="H43" s="118">
        <v>80000</v>
      </c>
      <c r="I43" s="118">
        <f t="shared" si="27"/>
        <v>2296</v>
      </c>
      <c r="J43" s="118">
        <f t="shared" si="28"/>
        <v>2432</v>
      </c>
      <c r="K43" s="118"/>
      <c r="L43" s="116">
        <f>+I43+J43+K43</f>
        <v>4728</v>
      </c>
      <c r="M43" s="116">
        <f t="shared" si="23"/>
        <v>75272</v>
      </c>
      <c r="N43" s="116">
        <f t="shared" si="24"/>
        <v>7400.9372916666662</v>
      </c>
      <c r="O43" s="116"/>
      <c r="P43" s="159">
        <v>25</v>
      </c>
      <c r="Q43" s="118">
        <f>+P43+K43+J43+I43+N43</f>
        <v>12153.937291666665</v>
      </c>
      <c r="R43" s="155">
        <f t="shared" si="25"/>
        <v>67846.062708333338</v>
      </c>
    </row>
    <row r="44" spans="1:19" s="169" customFormat="1" ht="39.950000000000003" customHeight="1" x14ac:dyDescent="0.2">
      <c r="A44" s="156">
        <f>+A43+1</f>
        <v>24</v>
      </c>
      <c r="B44" s="163" t="s">
        <v>612</v>
      </c>
      <c r="C44" s="134" t="s">
        <v>335</v>
      </c>
      <c r="D44" s="107" t="s">
        <v>237</v>
      </c>
      <c r="E44" s="153" t="s">
        <v>178</v>
      </c>
      <c r="F44" s="174" t="s">
        <v>614</v>
      </c>
      <c r="G44" s="174" t="s">
        <v>645</v>
      </c>
      <c r="H44" s="118">
        <v>80000</v>
      </c>
      <c r="I44" s="118">
        <f t="shared" si="27"/>
        <v>2296</v>
      </c>
      <c r="J44" s="118">
        <f t="shared" si="28"/>
        <v>2432</v>
      </c>
      <c r="K44" s="118"/>
      <c r="L44" s="116">
        <f>+I44+J44+K44</f>
        <v>4728</v>
      </c>
      <c r="M44" s="116">
        <f t="shared" si="23"/>
        <v>75272</v>
      </c>
      <c r="N44" s="116">
        <f t="shared" si="24"/>
        <v>7400.9372916666662</v>
      </c>
      <c r="O44" s="116"/>
      <c r="P44" s="159">
        <v>4090.29</v>
      </c>
      <c r="Q44" s="118">
        <f>+P44+K44+J44+I44+N44</f>
        <v>16219.227291666666</v>
      </c>
      <c r="R44" s="155">
        <f t="shared" si="25"/>
        <v>63780.77270833333</v>
      </c>
    </row>
    <row r="45" spans="1:19" s="111" customFormat="1" ht="39.950000000000003" customHeight="1" x14ac:dyDescent="0.2">
      <c r="A45" s="366" t="s">
        <v>99</v>
      </c>
      <c r="B45" s="367"/>
      <c r="C45" s="100"/>
      <c r="D45" s="100"/>
      <c r="E45" s="100"/>
      <c r="F45" s="323"/>
      <c r="G45" s="323"/>
      <c r="H45" s="101">
        <f>SUM(H38:H44)</f>
        <v>570000</v>
      </c>
      <c r="I45" s="101">
        <f t="shared" ref="I45:R45" si="29">SUM(I38:I44)</f>
        <v>16359</v>
      </c>
      <c r="J45" s="101">
        <f t="shared" si="29"/>
        <v>17328</v>
      </c>
      <c r="K45" s="101">
        <f t="shared" si="29"/>
        <v>0</v>
      </c>
      <c r="L45" s="101">
        <f t="shared" si="29"/>
        <v>33687</v>
      </c>
      <c r="M45" s="101">
        <f t="shared" si="29"/>
        <v>536313</v>
      </c>
      <c r="N45" s="101">
        <f t="shared" si="29"/>
        <v>46757.873749999999</v>
      </c>
      <c r="O45" s="101">
        <f t="shared" si="29"/>
        <v>0</v>
      </c>
      <c r="P45" s="101">
        <f>SUM(P38:P44)</f>
        <v>22013.370000000003</v>
      </c>
      <c r="Q45" s="101">
        <f>SUM(Q38:Q44)</f>
        <v>102458.24374999998</v>
      </c>
      <c r="R45" s="101">
        <f t="shared" si="29"/>
        <v>467541.75624999998</v>
      </c>
      <c r="S45" s="344"/>
    </row>
    <row r="46" spans="1:19" s="169" customFormat="1" ht="39.950000000000003" customHeight="1" thickBot="1" x14ac:dyDescent="0.25">
      <c r="A46" s="168"/>
      <c r="B46" s="168"/>
      <c r="C46" s="168"/>
      <c r="D46" s="168"/>
      <c r="E46" s="168"/>
      <c r="F46" s="173"/>
      <c r="G46" s="173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</row>
    <row r="47" spans="1:19" s="114" customFormat="1" ht="39.950000000000003" customHeight="1" thickBot="1" x14ac:dyDescent="0.25">
      <c r="A47" s="171" t="s">
        <v>148</v>
      </c>
      <c r="B47" s="172"/>
      <c r="C47" s="172"/>
      <c r="D47" s="172"/>
      <c r="E47" s="172"/>
      <c r="F47" s="185"/>
      <c r="G47" s="185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</row>
    <row r="48" spans="1:19" s="114" customFormat="1" ht="39.950000000000003" customHeight="1" x14ac:dyDescent="0.2">
      <c r="A48" s="152">
        <f>+A44+1</f>
        <v>25</v>
      </c>
      <c r="B48" s="163" t="s">
        <v>400</v>
      </c>
      <c r="C48" s="152" t="s">
        <v>335</v>
      </c>
      <c r="D48" s="153" t="s">
        <v>105</v>
      </c>
      <c r="E48" s="153" t="s">
        <v>178</v>
      </c>
      <c r="F48" s="320" t="s">
        <v>617</v>
      </c>
      <c r="G48" s="320" t="s">
        <v>658</v>
      </c>
      <c r="H48" s="105">
        <v>70000</v>
      </c>
      <c r="I48" s="105">
        <f>H48*2.87%</f>
        <v>2009</v>
      </c>
      <c r="J48" s="105">
        <f>+H48*3.04%</f>
        <v>2128</v>
      </c>
      <c r="K48" s="105"/>
      <c r="L48" s="116">
        <f>+J48+I48+K48</f>
        <v>4137</v>
      </c>
      <c r="M48" s="116">
        <f>+H48-L48</f>
        <v>65863</v>
      </c>
      <c r="N48" s="116">
        <f t="shared" ref="N48" si="30">+IF(M48*12&lt;=416220.01,0,IF(M48*12&lt;=624329.01,(((M48*12-416220.01)*0.15)/12),IF((M48*12&lt;=867123.01),(31216+0.2*(M48*12-624329.01))/12,((79776+0.25*(M48*12-867123.01))/12))))-O48</f>
        <v>5368.4498333333331</v>
      </c>
      <c r="O48" s="116"/>
      <c r="P48" s="162">
        <v>265</v>
      </c>
      <c r="Q48" s="116">
        <f>+P48+N48+L48</f>
        <v>9770.4498333333322</v>
      </c>
      <c r="R48" s="155">
        <f>+H48-Q48</f>
        <v>60229.550166666668</v>
      </c>
    </row>
    <row r="49" spans="1:19" s="111" customFormat="1" ht="39.950000000000003" customHeight="1" thickBot="1" x14ac:dyDescent="0.25">
      <c r="A49" s="366" t="s">
        <v>99</v>
      </c>
      <c r="B49" s="367"/>
      <c r="C49" s="182"/>
      <c r="D49" s="182"/>
      <c r="E49" s="182"/>
      <c r="F49" s="324"/>
      <c r="G49" s="325"/>
      <c r="H49" s="101">
        <f t="shared" ref="H49:R49" si="31">SUM(H48:H48)</f>
        <v>70000</v>
      </c>
      <c r="I49" s="101">
        <f t="shared" si="31"/>
        <v>2009</v>
      </c>
      <c r="J49" s="101">
        <f t="shared" si="31"/>
        <v>2128</v>
      </c>
      <c r="K49" s="101">
        <f t="shared" si="31"/>
        <v>0</v>
      </c>
      <c r="L49" s="101">
        <f t="shared" si="31"/>
        <v>4137</v>
      </c>
      <c r="M49" s="101">
        <f t="shared" si="31"/>
        <v>65863</v>
      </c>
      <c r="N49" s="101">
        <f t="shared" si="31"/>
        <v>5368.4498333333331</v>
      </c>
      <c r="O49" s="101">
        <f t="shared" si="31"/>
        <v>0</v>
      </c>
      <c r="P49" s="101">
        <f t="shared" si="31"/>
        <v>265</v>
      </c>
      <c r="Q49" s="101">
        <f t="shared" si="31"/>
        <v>9770.4498333333322</v>
      </c>
      <c r="R49" s="101">
        <f t="shared" si="31"/>
        <v>60229.550166666668</v>
      </c>
      <c r="S49" s="344"/>
    </row>
    <row r="50" spans="1:19" s="111" customFormat="1" ht="39.950000000000003" customHeight="1" thickBot="1" x14ac:dyDescent="0.25">
      <c r="A50" s="171" t="s">
        <v>123</v>
      </c>
      <c r="B50" s="172"/>
      <c r="C50" s="172"/>
      <c r="D50" s="172"/>
      <c r="E50" s="172"/>
      <c r="F50" s="185"/>
      <c r="G50" s="185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</row>
    <row r="51" spans="1:19" s="169" customFormat="1" ht="39.950000000000003" customHeight="1" x14ac:dyDescent="0.2">
      <c r="A51" s="156">
        <f>+A48+1</f>
        <v>26</v>
      </c>
      <c r="B51" s="163" t="s">
        <v>179</v>
      </c>
      <c r="C51" s="134" t="s">
        <v>335</v>
      </c>
      <c r="D51" s="107" t="s">
        <v>569</v>
      </c>
      <c r="E51" s="153" t="s">
        <v>178</v>
      </c>
      <c r="F51" s="320" t="s">
        <v>617</v>
      </c>
      <c r="G51" s="320" t="s">
        <v>658</v>
      </c>
      <c r="H51" s="118">
        <v>85000</v>
      </c>
      <c r="I51" s="118">
        <f>H51*2.87%</f>
        <v>2439.5</v>
      </c>
      <c r="J51" s="118">
        <f>+H51*3.04%</f>
        <v>2584</v>
      </c>
      <c r="K51" s="118"/>
      <c r="L51" s="116">
        <f>+J51+I51+K51</f>
        <v>5023.5</v>
      </c>
      <c r="M51" s="116">
        <f>+H51-L51</f>
        <v>79976.5</v>
      </c>
      <c r="N51" s="116">
        <f>+IF(M51*12&lt;=416220.01,0,IF(M51*12&lt;=624329.01,(((M51*12-416220.01)*0.15)/12),IF((M51*12&lt;=867123.01),(31216+0.2*(M51*12-624329.01))/12,((79776+0.25*(M51*12-867123.01))/12))))-O51</f>
        <v>8577.0622916666671</v>
      </c>
      <c r="O51" s="116"/>
      <c r="P51" s="155">
        <v>3952.08</v>
      </c>
      <c r="Q51" s="118">
        <f>+P51+N51+L51</f>
        <v>17552.642291666667</v>
      </c>
      <c r="R51" s="155">
        <f>+H51-Q51</f>
        <v>67447.357708333337</v>
      </c>
    </row>
    <row r="52" spans="1:19" s="169" customFormat="1" ht="39.950000000000003" customHeight="1" x14ac:dyDescent="0.2">
      <c r="A52" s="156">
        <f>+A51+1</f>
        <v>27</v>
      </c>
      <c r="B52" s="163" t="s">
        <v>507</v>
      </c>
      <c r="C52" s="134" t="s">
        <v>334</v>
      </c>
      <c r="D52" s="107" t="s">
        <v>575</v>
      </c>
      <c r="E52" s="153" t="s">
        <v>178</v>
      </c>
      <c r="F52" s="174" t="s">
        <v>603</v>
      </c>
      <c r="G52" s="174" t="s">
        <v>643</v>
      </c>
      <c r="H52" s="118">
        <v>80000</v>
      </c>
      <c r="I52" s="118">
        <f>H52*2.87%</f>
        <v>2296</v>
      </c>
      <c r="J52" s="118">
        <f>+H52*3.04%</f>
        <v>2432</v>
      </c>
      <c r="K52" s="118"/>
      <c r="L52" s="116">
        <f>+J52+I52+K52</f>
        <v>4728</v>
      </c>
      <c r="M52" s="116">
        <f>+H52-L52</f>
        <v>75272</v>
      </c>
      <c r="N52" s="116">
        <f>+IF(M52*12&lt;=416220.01,0,IF(M52*12&lt;=624329.01,(((M52*12-416220.01)*0.15)/12),IF((M52*12&lt;=867123.01),(31216+0.2*(M52*12-624329.01))/12,((79776+0.25*(M52*12-867123.01))/12))))-O52</f>
        <v>7400.9372916666662</v>
      </c>
      <c r="O52" s="116"/>
      <c r="P52" s="155">
        <f>125+100</f>
        <v>225</v>
      </c>
      <c r="Q52" s="118">
        <f>+P52+N52+L52</f>
        <v>12353.937291666665</v>
      </c>
      <c r="R52" s="155">
        <f>+H52-Q52</f>
        <v>67646.062708333338</v>
      </c>
    </row>
    <row r="53" spans="1:19" s="114" customFormat="1" ht="39.950000000000003" customHeight="1" x14ac:dyDescent="0.2">
      <c r="A53" s="366" t="s">
        <v>99</v>
      </c>
      <c r="B53" s="367"/>
      <c r="C53" s="100"/>
      <c r="D53" s="100"/>
      <c r="E53" s="100"/>
      <c r="F53" s="323"/>
      <c r="G53" s="323"/>
      <c r="H53" s="101">
        <f>SUM(H51:H52)</f>
        <v>165000</v>
      </c>
      <c r="I53" s="101">
        <f t="shared" ref="I53:R53" si="32">SUM(I51:I52)</f>
        <v>4735.5</v>
      </c>
      <c r="J53" s="101">
        <f t="shared" si="32"/>
        <v>5016</v>
      </c>
      <c r="K53" s="101">
        <f t="shared" si="32"/>
        <v>0</v>
      </c>
      <c r="L53" s="101">
        <f t="shared" si="32"/>
        <v>9751.5</v>
      </c>
      <c r="M53" s="101">
        <f t="shared" si="32"/>
        <v>155248.5</v>
      </c>
      <c r="N53" s="101">
        <f t="shared" si="32"/>
        <v>15977.999583333334</v>
      </c>
      <c r="O53" s="101">
        <f t="shared" si="32"/>
        <v>0</v>
      </c>
      <c r="P53" s="101">
        <f t="shared" si="32"/>
        <v>4177.08</v>
      </c>
      <c r="Q53" s="101">
        <f t="shared" si="32"/>
        <v>29906.579583333332</v>
      </c>
      <c r="R53" s="101">
        <f t="shared" si="32"/>
        <v>135093.42041666666</v>
      </c>
      <c r="S53" s="345"/>
    </row>
    <row r="54" spans="1:19" s="114" customFormat="1" ht="39.950000000000003" customHeight="1" thickBot="1" x14ac:dyDescent="0.25">
      <c r="A54" s="168"/>
      <c r="B54" s="168"/>
      <c r="C54" s="168"/>
      <c r="D54" s="168"/>
      <c r="E54" s="168"/>
      <c r="F54" s="173"/>
      <c r="G54" s="173"/>
    </row>
    <row r="55" spans="1:19" s="114" customFormat="1" ht="39.950000000000003" customHeight="1" thickBot="1" x14ac:dyDescent="0.25">
      <c r="A55" s="171" t="s">
        <v>124</v>
      </c>
      <c r="B55" s="172"/>
      <c r="C55" s="172"/>
      <c r="D55" s="172"/>
      <c r="E55" s="172"/>
      <c r="F55" s="185"/>
      <c r="G55" s="185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</row>
    <row r="56" spans="1:19" s="114" customFormat="1" ht="39.950000000000003" customHeight="1" x14ac:dyDescent="0.2">
      <c r="A56" s="301">
        <f>+A52+1</f>
        <v>28</v>
      </c>
      <c r="B56" s="140" t="s">
        <v>342</v>
      </c>
      <c r="C56" s="135" t="s">
        <v>335</v>
      </c>
      <c r="D56" s="153" t="s">
        <v>635</v>
      </c>
      <c r="E56" s="153" t="s">
        <v>178</v>
      </c>
      <c r="F56" s="174" t="s">
        <v>604</v>
      </c>
      <c r="G56" s="174" t="s">
        <v>633</v>
      </c>
      <c r="H56" s="117">
        <v>155000</v>
      </c>
      <c r="I56" s="116">
        <f>H56*2.87%</f>
        <v>4448.5</v>
      </c>
      <c r="J56" s="118">
        <f>+H56*3.04%</f>
        <v>4712</v>
      </c>
      <c r="K56" s="118"/>
      <c r="L56" s="118">
        <f>+J56+I56+K56</f>
        <v>9160.5</v>
      </c>
      <c r="M56" s="116">
        <f>+H56-L56</f>
        <v>145839.5</v>
      </c>
      <c r="N56" s="116">
        <f>+IF(M56*12&lt;=416220.01,0,IF(M56*12&lt;=624329.01,(((M56*12-416220.01)*0.15)/12),IF((M56*12&lt;=867123.01),(31216+0.2*(M56*12-624329.01))/12,((79776+0.25*(M56*12-867123.01))/12))))</f>
        <v>25042.812291666665</v>
      </c>
      <c r="O56" s="116"/>
      <c r="P56" s="159">
        <v>2290.29</v>
      </c>
      <c r="Q56" s="116">
        <f>+P56+N56+L56</f>
        <v>36493.60229166667</v>
      </c>
      <c r="R56" s="159">
        <f>+H56-Q56</f>
        <v>118506.39770833333</v>
      </c>
    </row>
    <row r="57" spans="1:19" s="114" customFormat="1" ht="39.950000000000003" customHeight="1" x14ac:dyDescent="0.2">
      <c r="A57" s="301">
        <f>+A56+1</f>
        <v>29</v>
      </c>
      <c r="B57" s="310" t="s">
        <v>574</v>
      </c>
      <c r="C57" s="135" t="s">
        <v>335</v>
      </c>
      <c r="D57" s="153" t="s">
        <v>575</v>
      </c>
      <c r="E57" s="107" t="s">
        <v>178</v>
      </c>
      <c r="F57" s="174" t="s">
        <v>614</v>
      </c>
      <c r="G57" s="174" t="s">
        <v>645</v>
      </c>
      <c r="H57" s="159">
        <v>80000</v>
      </c>
      <c r="I57" s="118">
        <f>H57*2.87%</f>
        <v>2296</v>
      </c>
      <c r="J57" s="118">
        <f>+H57*3.04%</f>
        <v>2432</v>
      </c>
      <c r="K57" s="118"/>
      <c r="L57" s="116">
        <f>+J57+I57+K57</f>
        <v>4728</v>
      </c>
      <c r="M57" s="116">
        <f>+H57-L57</f>
        <v>75272</v>
      </c>
      <c r="N57" s="116">
        <v>0</v>
      </c>
      <c r="O57" s="116"/>
      <c r="P57" s="155">
        <v>25</v>
      </c>
      <c r="Q57" s="116">
        <f>+P57+N57+L57</f>
        <v>4753</v>
      </c>
      <c r="R57" s="155">
        <f>+H57-Q57</f>
        <v>75247</v>
      </c>
    </row>
    <row r="58" spans="1:19" s="114" customFormat="1" ht="39.950000000000003" customHeight="1" x14ac:dyDescent="0.2">
      <c r="A58" s="366" t="s">
        <v>99</v>
      </c>
      <c r="B58" s="367"/>
      <c r="C58" s="100"/>
      <c r="D58" s="100"/>
      <c r="E58" s="100"/>
      <c r="F58" s="323"/>
      <c r="G58" s="323"/>
      <c r="H58" s="101">
        <f t="shared" ref="H58:R58" si="33">SUM(H56:H57)</f>
        <v>235000</v>
      </c>
      <c r="I58" s="101">
        <f t="shared" si="33"/>
        <v>6744.5</v>
      </c>
      <c r="J58" s="101">
        <f t="shared" si="33"/>
        <v>7144</v>
      </c>
      <c r="K58" s="101">
        <f t="shared" si="33"/>
        <v>0</v>
      </c>
      <c r="L58" s="101">
        <f t="shared" si="33"/>
        <v>13888.5</v>
      </c>
      <c r="M58" s="101">
        <f t="shared" si="33"/>
        <v>221111.5</v>
      </c>
      <c r="N58" s="101">
        <f t="shared" si="33"/>
        <v>25042.812291666665</v>
      </c>
      <c r="O58" s="101">
        <f t="shared" si="33"/>
        <v>0</v>
      </c>
      <c r="P58" s="101">
        <f t="shared" si="33"/>
        <v>2315.29</v>
      </c>
      <c r="Q58" s="101">
        <f t="shared" si="33"/>
        <v>41246.60229166667</v>
      </c>
      <c r="R58" s="101">
        <f t="shared" si="33"/>
        <v>193753.39770833333</v>
      </c>
      <c r="S58" s="345"/>
    </row>
    <row r="59" spans="1:19" s="114" customFormat="1" ht="39.950000000000003" customHeight="1" thickBot="1" x14ac:dyDescent="0.25">
      <c r="A59" s="168"/>
      <c r="B59" s="168"/>
      <c r="C59" s="168"/>
      <c r="D59" s="168"/>
      <c r="E59" s="168"/>
      <c r="F59" s="173"/>
      <c r="G59" s="173"/>
    </row>
    <row r="60" spans="1:19" s="114" customFormat="1" ht="39.950000000000003" customHeight="1" thickBot="1" x14ac:dyDescent="0.25">
      <c r="A60" s="150" t="s">
        <v>125</v>
      </c>
      <c r="B60" s="151"/>
      <c r="C60" s="151"/>
      <c r="D60" s="151"/>
      <c r="E60" s="151"/>
      <c r="F60" s="322"/>
      <c r="G60" s="322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</row>
    <row r="61" spans="1:19" s="114" customFormat="1" ht="39.950000000000003" customHeight="1" x14ac:dyDescent="0.2">
      <c r="A61" s="175">
        <f>+A57+1</f>
        <v>30</v>
      </c>
      <c r="B61" s="176" t="s">
        <v>465</v>
      </c>
      <c r="C61" s="129" t="s">
        <v>334</v>
      </c>
      <c r="D61" s="174" t="s">
        <v>569</v>
      </c>
      <c r="E61" s="102" t="s">
        <v>178</v>
      </c>
      <c r="F61" s="174" t="s">
        <v>628</v>
      </c>
      <c r="G61" s="174" t="s">
        <v>655</v>
      </c>
      <c r="H61" s="155">
        <v>80000</v>
      </c>
      <c r="I61" s="116">
        <f>H61*2.87%</f>
        <v>2296</v>
      </c>
      <c r="J61" s="116">
        <f>+H61*3.04%</f>
        <v>2432</v>
      </c>
      <c r="K61" s="116"/>
      <c r="L61" s="116">
        <f>+J61+I61+K61</f>
        <v>4728</v>
      </c>
      <c r="M61" s="116">
        <f>+H61-L61</f>
        <v>75272</v>
      </c>
      <c r="N61" s="116">
        <f>+IF(M62*12&lt;=416220.01,0,IF(M61*12&lt;=624329.01,(((M61*12-416220.01)*0.15)/12),IF((M61*12&lt;=867123.01),(31216+0.2*(M61*12-624329.01))/12,((79776+0.25*(M61*12-867123.01))/12))))-O61</f>
        <v>7400.9372916666662</v>
      </c>
      <c r="O61" s="116"/>
      <c r="P61" s="159">
        <v>15290.29</v>
      </c>
      <c r="Q61" s="116">
        <f>+P61+N61+L61</f>
        <v>27419.227291666666</v>
      </c>
      <c r="R61" s="159">
        <f>+H61-Q61</f>
        <v>52580.77270833333</v>
      </c>
    </row>
    <row r="62" spans="1:19" s="114" customFormat="1" ht="39.950000000000003" customHeight="1" thickBot="1" x14ac:dyDescent="0.25">
      <c r="A62" s="366" t="s">
        <v>99</v>
      </c>
      <c r="B62" s="367"/>
      <c r="C62" s="100"/>
      <c r="D62" s="100"/>
      <c r="E62" s="100"/>
      <c r="F62" s="323"/>
      <c r="G62" s="323"/>
      <c r="H62" s="101">
        <f>SUM(H61)</f>
        <v>80000</v>
      </c>
      <c r="I62" s="101">
        <f t="shared" ref="I62:R62" si="34">SUM(I61)</f>
        <v>2296</v>
      </c>
      <c r="J62" s="101">
        <f t="shared" si="34"/>
        <v>2432</v>
      </c>
      <c r="K62" s="101">
        <f t="shared" si="34"/>
        <v>0</v>
      </c>
      <c r="L62" s="101">
        <f t="shared" si="34"/>
        <v>4728</v>
      </c>
      <c r="M62" s="101">
        <f t="shared" si="34"/>
        <v>75272</v>
      </c>
      <c r="N62" s="101">
        <f t="shared" si="34"/>
        <v>7400.9372916666662</v>
      </c>
      <c r="O62" s="101">
        <f t="shared" si="34"/>
        <v>0</v>
      </c>
      <c r="P62" s="101">
        <f t="shared" si="34"/>
        <v>15290.29</v>
      </c>
      <c r="Q62" s="101">
        <f t="shared" si="34"/>
        <v>27419.227291666666</v>
      </c>
      <c r="R62" s="101">
        <f t="shared" si="34"/>
        <v>52580.77270833333</v>
      </c>
      <c r="S62" s="345"/>
    </row>
    <row r="63" spans="1:19" s="114" customFormat="1" ht="39.950000000000003" customHeight="1" thickBot="1" x14ac:dyDescent="0.25">
      <c r="A63" s="150" t="s">
        <v>126</v>
      </c>
      <c r="B63" s="151"/>
      <c r="C63" s="151"/>
      <c r="D63" s="151"/>
      <c r="E63" s="151"/>
      <c r="F63" s="322"/>
      <c r="G63" s="322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</row>
    <row r="64" spans="1:19" s="114" customFormat="1" ht="39.950000000000003" customHeight="1" x14ac:dyDescent="0.2">
      <c r="A64" s="175">
        <f>+A61+1</f>
        <v>31</v>
      </c>
      <c r="B64" s="176" t="s">
        <v>102</v>
      </c>
      <c r="C64" s="129" t="s">
        <v>334</v>
      </c>
      <c r="D64" s="174" t="s">
        <v>575</v>
      </c>
      <c r="E64" s="102" t="s">
        <v>178</v>
      </c>
      <c r="F64" s="174" t="s">
        <v>604</v>
      </c>
      <c r="G64" s="174" t="s">
        <v>633</v>
      </c>
      <c r="H64" s="155">
        <v>90000</v>
      </c>
      <c r="I64" s="116">
        <f>H64*2.87%</f>
        <v>2583</v>
      </c>
      <c r="J64" s="116">
        <f>+H64*3.04%</f>
        <v>2736</v>
      </c>
      <c r="K64" s="116"/>
      <c r="L64" s="116">
        <f>+J64+I64+K64</f>
        <v>5319</v>
      </c>
      <c r="M64" s="116">
        <f>+H64-L64</f>
        <v>84681</v>
      </c>
      <c r="N64" s="116">
        <f>+IF(M64*12&lt;=416220.01,0,IF(M64*12&lt;=624329.01,(((M64*12-416220.01)*0.15)/12),IF((M64*12&lt;=867123.01),(31216+0.2*(M64*12-624329.01))/12,((79776+0.25*(M64*12-867123.01))/12))))-O64</f>
        <v>9753.1872916666671</v>
      </c>
      <c r="O64" s="116"/>
      <c r="P64" s="159">
        <v>25</v>
      </c>
      <c r="Q64" s="116">
        <f>+P64+N64+L64</f>
        <v>15097.187291666667</v>
      </c>
      <c r="R64" s="159">
        <f>+H64-Q64</f>
        <v>74902.812708333338</v>
      </c>
    </row>
    <row r="65" spans="1:19" s="114" customFormat="1" ht="39.950000000000003" customHeight="1" x14ac:dyDescent="0.2">
      <c r="A65" s="175">
        <f>+A64+1</f>
        <v>32</v>
      </c>
      <c r="B65" s="176" t="s">
        <v>486</v>
      </c>
      <c r="C65" s="129" t="s">
        <v>334</v>
      </c>
      <c r="D65" s="174" t="s">
        <v>569</v>
      </c>
      <c r="E65" s="102" t="s">
        <v>178</v>
      </c>
      <c r="F65" s="174" t="s">
        <v>604</v>
      </c>
      <c r="G65" s="174" t="s">
        <v>633</v>
      </c>
      <c r="H65" s="155">
        <v>80000</v>
      </c>
      <c r="I65" s="118">
        <f>H65*2.87%</f>
        <v>2296</v>
      </c>
      <c r="J65" s="118">
        <f>+H65*3.04%</f>
        <v>2432</v>
      </c>
      <c r="K65" s="118">
        <f>1919.78*2</f>
        <v>3839.56</v>
      </c>
      <c r="L65" s="118">
        <f>+J65+I65+K65</f>
        <v>8567.56</v>
      </c>
      <c r="M65" s="116">
        <f>+H65-L65</f>
        <v>71432.44</v>
      </c>
      <c r="N65" s="116">
        <f>+IF(M65*12&lt;=416220.01,0,IF(M65*12&lt;=624329.01,(((M65*12-416220.01)*0.15)/12),IF((M65*12&lt;=867123.01),(31216+0.2*(M65*12-624329.01))/12,((79776+0.25*(M65*12-867123.01))/12))))-O65</f>
        <v>6482.3378333333339</v>
      </c>
      <c r="O65" s="116"/>
      <c r="P65" s="159">
        <v>5860.65</v>
      </c>
      <c r="Q65" s="116">
        <f>+P65+N65+L65</f>
        <v>20910.54783333333</v>
      </c>
      <c r="R65" s="155">
        <f>+H65-Q65</f>
        <v>59089.45216666667</v>
      </c>
    </row>
    <row r="66" spans="1:19" s="114" customFormat="1" ht="39.950000000000003" customHeight="1" x14ac:dyDescent="0.2">
      <c r="A66" s="366" t="s">
        <v>99</v>
      </c>
      <c r="B66" s="367"/>
      <c r="C66" s="100"/>
      <c r="D66" s="100"/>
      <c r="E66" s="100"/>
      <c r="F66" s="323"/>
      <c r="G66" s="323"/>
      <c r="H66" s="101">
        <f>SUM(H64:H65)</f>
        <v>170000</v>
      </c>
      <c r="I66" s="101">
        <f t="shared" ref="I66:R66" si="35">SUM(I64:I65)</f>
        <v>4879</v>
      </c>
      <c r="J66" s="101">
        <f t="shared" si="35"/>
        <v>5168</v>
      </c>
      <c r="K66" s="101">
        <f t="shared" si="35"/>
        <v>3839.56</v>
      </c>
      <c r="L66" s="101">
        <f t="shared" si="35"/>
        <v>13886.56</v>
      </c>
      <c r="M66" s="101">
        <f t="shared" si="35"/>
        <v>156113.44</v>
      </c>
      <c r="N66" s="101">
        <f t="shared" si="35"/>
        <v>16235.525125</v>
      </c>
      <c r="O66" s="101">
        <f t="shared" si="35"/>
        <v>0</v>
      </c>
      <c r="P66" s="101">
        <f t="shared" si="35"/>
        <v>5885.65</v>
      </c>
      <c r="Q66" s="101">
        <f t="shared" si="35"/>
        <v>36007.735124999999</v>
      </c>
      <c r="R66" s="101">
        <f t="shared" si="35"/>
        <v>133992.26487499999</v>
      </c>
      <c r="S66" s="345"/>
    </row>
    <row r="67" spans="1:19" s="114" customFormat="1" ht="39.950000000000003" customHeight="1" thickBot="1" x14ac:dyDescent="0.25">
      <c r="A67" s="168"/>
      <c r="B67" s="168"/>
      <c r="C67" s="168"/>
      <c r="D67" s="168"/>
      <c r="E67" s="168"/>
      <c r="F67" s="173"/>
      <c r="G67" s="173"/>
      <c r="J67" s="169"/>
      <c r="K67" s="169"/>
      <c r="L67" s="169"/>
      <c r="M67" s="169"/>
      <c r="N67" s="169"/>
      <c r="O67" s="169"/>
      <c r="P67" s="169"/>
      <c r="Q67" s="169"/>
      <c r="R67" s="169"/>
    </row>
    <row r="68" spans="1:19" s="111" customFormat="1" ht="39.950000000000003" customHeight="1" thickBot="1" x14ac:dyDescent="0.25">
      <c r="A68" s="150" t="s">
        <v>127</v>
      </c>
      <c r="B68" s="151"/>
      <c r="C68" s="151"/>
      <c r="D68" s="151"/>
      <c r="E68" s="151"/>
      <c r="F68" s="322"/>
      <c r="G68" s="322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</row>
    <row r="69" spans="1:19" s="115" customFormat="1" ht="39.950000000000003" customHeight="1" x14ac:dyDescent="0.2">
      <c r="A69" s="175">
        <f>+A65+1</f>
        <v>33</v>
      </c>
      <c r="B69" s="105" t="s">
        <v>504</v>
      </c>
      <c r="C69" s="130" t="s">
        <v>334</v>
      </c>
      <c r="D69" s="153" t="s">
        <v>569</v>
      </c>
      <c r="E69" s="153" t="s">
        <v>178</v>
      </c>
      <c r="F69" s="174" t="s">
        <v>614</v>
      </c>
      <c r="G69" s="174" t="s">
        <v>645</v>
      </c>
      <c r="H69" s="159">
        <v>80000</v>
      </c>
      <c r="I69" s="116">
        <f>H69*2.87%</f>
        <v>2296</v>
      </c>
      <c r="J69" s="116">
        <f>+H69*3.04%</f>
        <v>2432</v>
      </c>
      <c r="K69" s="116"/>
      <c r="L69" s="116">
        <f>+J69+I69+K69</f>
        <v>4728</v>
      </c>
      <c r="M69" s="116">
        <f>+H69-L69</f>
        <v>75272</v>
      </c>
      <c r="N69" s="116">
        <f>+IF(M69*12&lt;=416220.01,0,IF(M69*12&lt;=624329.01,(((M69*12-416220.01)*0.15)/12),IF((M69*12&lt;=867123.01),(31216+0.2*(M69*12-624329.01))/12,((79776+0.25*(M69*12-867123.01))/12))))-O69</f>
        <v>7400.9372916666662</v>
      </c>
      <c r="O69" s="116"/>
      <c r="P69" s="155">
        <v>25</v>
      </c>
      <c r="Q69" s="116">
        <f>+P69+N69+L69</f>
        <v>12153.937291666665</v>
      </c>
      <c r="R69" s="159">
        <f>+H69-Q69</f>
        <v>67846.062708333338</v>
      </c>
    </row>
    <row r="70" spans="1:19" s="115" customFormat="1" ht="39.950000000000003" customHeight="1" x14ac:dyDescent="0.2">
      <c r="A70" s="366" t="s">
        <v>99</v>
      </c>
      <c r="B70" s="367"/>
      <c r="C70" s="100"/>
      <c r="D70" s="100"/>
      <c r="E70" s="100"/>
      <c r="F70" s="323"/>
      <c r="G70" s="323"/>
      <c r="H70" s="101">
        <f t="shared" ref="H70:R70" si="36">SUM(H69:H69)</f>
        <v>80000</v>
      </c>
      <c r="I70" s="101">
        <f t="shared" si="36"/>
        <v>2296</v>
      </c>
      <c r="J70" s="101">
        <f t="shared" si="36"/>
        <v>2432</v>
      </c>
      <c r="K70" s="101">
        <f t="shared" si="36"/>
        <v>0</v>
      </c>
      <c r="L70" s="101">
        <f t="shared" si="36"/>
        <v>4728</v>
      </c>
      <c r="M70" s="101">
        <f t="shared" si="36"/>
        <v>75272</v>
      </c>
      <c r="N70" s="101">
        <f t="shared" si="36"/>
        <v>7400.9372916666662</v>
      </c>
      <c r="O70" s="101">
        <f t="shared" si="36"/>
        <v>0</v>
      </c>
      <c r="P70" s="101">
        <f t="shared" si="36"/>
        <v>25</v>
      </c>
      <c r="Q70" s="101">
        <f t="shared" si="36"/>
        <v>12153.937291666665</v>
      </c>
      <c r="R70" s="101">
        <f t="shared" si="36"/>
        <v>67846.062708333338</v>
      </c>
      <c r="S70" s="344"/>
    </row>
    <row r="71" spans="1:19" s="115" customFormat="1" ht="39.950000000000003" customHeight="1" thickBot="1" x14ac:dyDescent="0.25">
      <c r="A71" s="114"/>
      <c r="B71" s="114"/>
      <c r="C71" s="114"/>
      <c r="D71" s="114"/>
      <c r="E71" s="114"/>
      <c r="F71" s="169"/>
      <c r="G71" s="169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</row>
    <row r="72" spans="1:19" s="115" customFormat="1" ht="39.950000000000003" customHeight="1" thickBot="1" x14ac:dyDescent="0.25">
      <c r="A72" s="150" t="s">
        <v>384</v>
      </c>
      <c r="B72" s="151"/>
      <c r="C72" s="151"/>
      <c r="D72" s="151"/>
      <c r="E72" s="151"/>
      <c r="F72" s="322"/>
      <c r="G72" s="322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</row>
    <row r="73" spans="1:19" s="111" customFormat="1" ht="39.950000000000003" customHeight="1" x14ac:dyDescent="0.2">
      <c r="A73" s="175">
        <f>+A69+1</f>
        <v>34</v>
      </c>
      <c r="B73" s="105" t="s">
        <v>383</v>
      </c>
      <c r="C73" s="130" t="s">
        <v>335</v>
      </c>
      <c r="D73" s="153" t="s">
        <v>569</v>
      </c>
      <c r="E73" s="153" t="s">
        <v>178</v>
      </c>
      <c r="F73" s="174" t="s">
        <v>604</v>
      </c>
      <c r="G73" s="174" t="s">
        <v>633</v>
      </c>
      <c r="H73" s="159">
        <v>80000</v>
      </c>
      <c r="I73" s="116">
        <f>H73*2.87%</f>
        <v>2296</v>
      </c>
      <c r="J73" s="116">
        <f>+H73*3.04%</f>
        <v>2432</v>
      </c>
      <c r="K73" s="116"/>
      <c r="L73" s="116">
        <f>+J73+I73+K73</f>
        <v>4728</v>
      </c>
      <c r="M73" s="116">
        <f>+H73-L73</f>
        <v>75272</v>
      </c>
      <c r="N73" s="116">
        <f>+IF(M73*12&lt;=416220.01,0,IF(M73*12&lt;=624329.01,(((M73*12-416220.01)*0.15)/12),IF((M73*12&lt;=867123.01),(31216+0.2*(M73*12-624329.01))/12,((79776+0.25*(M73*12-867123.01))/12))))-O73</f>
        <v>7400.9372916666662</v>
      </c>
      <c r="O73" s="116">
        <v>0</v>
      </c>
      <c r="P73" s="155">
        <v>12459.31</v>
      </c>
      <c r="Q73" s="116">
        <f>+P73+N73+L73</f>
        <v>24588.247291666667</v>
      </c>
      <c r="R73" s="159">
        <f>+H73-Q73</f>
        <v>55411.752708333333</v>
      </c>
    </row>
    <row r="74" spans="1:19" s="114" customFormat="1" ht="39.950000000000003" customHeight="1" x14ac:dyDescent="0.2">
      <c r="A74" s="366" t="s">
        <v>99</v>
      </c>
      <c r="B74" s="367"/>
      <c r="C74" s="100"/>
      <c r="D74" s="100"/>
      <c r="E74" s="100"/>
      <c r="F74" s="323"/>
      <c r="G74" s="323"/>
      <c r="H74" s="101">
        <f>+H73</f>
        <v>80000</v>
      </c>
      <c r="I74" s="101">
        <f>+I73</f>
        <v>2296</v>
      </c>
      <c r="J74" s="101">
        <f>+J73</f>
        <v>2432</v>
      </c>
      <c r="K74" s="101">
        <f t="shared" ref="K74:R74" si="37">+K73</f>
        <v>0</v>
      </c>
      <c r="L74" s="101">
        <f>+L73</f>
        <v>4728</v>
      </c>
      <c r="M74" s="101">
        <f>+M73</f>
        <v>75272</v>
      </c>
      <c r="N74" s="101">
        <f>+N73</f>
        <v>7400.9372916666662</v>
      </c>
      <c r="O74" s="101">
        <f t="shared" si="37"/>
        <v>0</v>
      </c>
      <c r="P74" s="101">
        <f>+P73</f>
        <v>12459.31</v>
      </c>
      <c r="Q74" s="101">
        <f t="shared" si="37"/>
        <v>24588.247291666667</v>
      </c>
      <c r="R74" s="101">
        <f t="shared" si="37"/>
        <v>55411.752708333333</v>
      </c>
      <c r="S74" s="345"/>
    </row>
    <row r="75" spans="1:19" s="169" customFormat="1" ht="39.950000000000003" customHeight="1" thickBot="1" x14ac:dyDescent="0.25">
      <c r="A75" s="168"/>
      <c r="B75" s="168"/>
      <c r="C75" s="168"/>
      <c r="D75" s="168"/>
      <c r="E75" s="168"/>
      <c r="F75" s="173"/>
      <c r="G75" s="173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</row>
    <row r="76" spans="1:19" s="169" customFormat="1" ht="39.950000000000003" customHeight="1" thickBot="1" x14ac:dyDescent="0.25">
      <c r="A76" s="150" t="s">
        <v>162</v>
      </c>
      <c r="B76" s="151"/>
      <c r="C76" s="151"/>
      <c r="D76" s="151"/>
      <c r="E76" s="151"/>
      <c r="F76" s="322"/>
      <c r="G76" s="322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</row>
    <row r="77" spans="1:19" s="114" customFormat="1" ht="39.950000000000003" customHeight="1" x14ac:dyDescent="0.2">
      <c r="A77" s="175">
        <f>+A73+1</f>
        <v>35</v>
      </c>
      <c r="B77" s="176" t="s">
        <v>302</v>
      </c>
      <c r="C77" s="129" t="s">
        <v>335</v>
      </c>
      <c r="D77" s="174" t="s">
        <v>569</v>
      </c>
      <c r="E77" s="102" t="s">
        <v>178</v>
      </c>
      <c r="F77" s="174" t="s">
        <v>614</v>
      </c>
      <c r="G77" s="174" t="s">
        <v>645</v>
      </c>
      <c r="H77" s="155">
        <v>90000</v>
      </c>
      <c r="I77" s="118">
        <f>H77*2.87%</f>
        <v>2583</v>
      </c>
      <c r="J77" s="118">
        <f>+H77*3.04%</f>
        <v>2736</v>
      </c>
      <c r="K77" s="118">
        <v>1919.78</v>
      </c>
      <c r="L77" s="118">
        <f>+J77+I77+K77</f>
        <v>7238.78</v>
      </c>
      <c r="M77" s="118">
        <f>+H77-L77</f>
        <v>82761.22</v>
      </c>
      <c r="N77" s="116">
        <f>+IF(M78*12&lt;=416220.01,0,IF(M77*12&lt;=624329.01,(((M77*12-416220.01)*0.15)/12),IF((M77*12&lt;=867123.01),(31216+0.2*(M77*12-624329.01))/12,((79776+0.25*(M77*12-867123.01))/12))))-O77</f>
        <v>9273.2422916666674</v>
      </c>
      <c r="O77" s="118"/>
      <c r="P77" s="155">
        <v>3290.29</v>
      </c>
      <c r="Q77" s="116">
        <f>+P77+N77+L77</f>
        <v>19802.312291666665</v>
      </c>
      <c r="R77" s="155">
        <f>+H77-Q77</f>
        <v>70197.687708333338</v>
      </c>
    </row>
    <row r="78" spans="1:19" s="114" customFormat="1" ht="39.950000000000003" customHeight="1" x14ac:dyDescent="0.2">
      <c r="A78" s="175">
        <f>+A77+1</f>
        <v>36</v>
      </c>
      <c r="B78" s="176" t="s">
        <v>385</v>
      </c>
      <c r="C78" s="129" t="s">
        <v>335</v>
      </c>
      <c r="D78" s="174" t="s">
        <v>569</v>
      </c>
      <c r="E78" s="102" t="s">
        <v>178</v>
      </c>
      <c r="F78" s="174" t="s">
        <v>604</v>
      </c>
      <c r="G78" s="174" t="s">
        <v>633</v>
      </c>
      <c r="H78" s="155">
        <v>90000</v>
      </c>
      <c r="I78" s="118">
        <f>H78*2.87%</f>
        <v>2583</v>
      </c>
      <c r="J78" s="118">
        <f>+H78*3.04%</f>
        <v>2736</v>
      </c>
      <c r="K78" s="118">
        <v>1919.78</v>
      </c>
      <c r="L78" s="116">
        <f>+J78+I78+K78</f>
        <v>7238.78</v>
      </c>
      <c r="M78" s="116">
        <f>+H78-L78</f>
        <v>82761.22</v>
      </c>
      <c r="N78" s="116">
        <f t="shared" ref="N78:N80" si="38">+IF(M79*12&lt;=416220.01,0,IF(M78*12&lt;=624329.01,(((M78*12-416220.01)*0.15)/12),IF((M78*12&lt;=867123.01),(31216+0.2*(M78*12-624329.01))/12,((79776+0.25*(M78*12-867123.01))/12))))-O78</f>
        <v>9273.2422916666674</v>
      </c>
      <c r="O78" s="116">
        <v>0</v>
      </c>
      <c r="P78" s="117">
        <v>2717.93</v>
      </c>
      <c r="Q78" s="116">
        <f>+P78+N78+L78</f>
        <v>19229.952291666668</v>
      </c>
      <c r="R78" s="155">
        <f>+H78-Q78</f>
        <v>70770.047708333324</v>
      </c>
    </row>
    <row r="79" spans="1:19" s="114" customFormat="1" ht="39.950000000000003" customHeight="1" x14ac:dyDescent="0.2">
      <c r="A79" s="175">
        <f>+A78+1</f>
        <v>37</v>
      </c>
      <c r="B79" s="176" t="s">
        <v>321</v>
      </c>
      <c r="C79" s="129" t="s">
        <v>335</v>
      </c>
      <c r="D79" s="174" t="s">
        <v>569</v>
      </c>
      <c r="E79" s="102" t="s">
        <v>178</v>
      </c>
      <c r="F79" s="174" t="s">
        <v>614</v>
      </c>
      <c r="G79" s="174" t="s">
        <v>645</v>
      </c>
      <c r="H79" s="155">
        <v>90000</v>
      </c>
      <c r="I79" s="97">
        <f>H79*2.87%</f>
        <v>2583</v>
      </c>
      <c r="J79" s="97">
        <f>+H79*3.04%</f>
        <v>2736</v>
      </c>
      <c r="K79" s="118">
        <v>1919.78</v>
      </c>
      <c r="L79" s="105">
        <f>+J79+I79+K79</f>
        <v>7238.78</v>
      </c>
      <c r="M79" s="105">
        <f>+H79-L79</f>
        <v>82761.22</v>
      </c>
      <c r="N79" s="116">
        <f t="shared" si="38"/>
        <v>9273.2422916666674</v>
      </c>
      <c r="O79" s="105">
        <v>0</v>
      </c>
      <c r="P79" s="117">
        <v>2290.29</v>
      </c>
      <c r="Q79" s="105">
        <f>+P79+N79+L79</f>
        <v>18802.312291666665</v>
      </c>
      <c r="R79" s="162">
        <f>+H79-Q79</f>
        <v>71197.687708333338</v>
      </c>
    </row>
    <row r="80" spans="1:19" s="114" customFormat="1" ht="39.950000000000003" customHeight="1" x14ac:dyDescent="0.2">
      <c r="A80" s="152">
        <f>+A79+1</f>
        <v>38</v>
      </c>
      <c r="B80" s="157" t="s">
        <v>576</v>
      </c>
      <c r="C80" s="130" t="s">
        <v>334</v>
      </c>
      <c r="D80" s="153" t="s">
        <v>569</v>
      </c>
      <c r="E80" s="153" t="s">
        <v>178</v>
      </c>
      <c r="F80" s="174" t="s">
        <v>614</v>
      </c>
      <c r="G80" s="174" t="s">
        <v>649</v>
      </c>
      <c r="H80" s="159">
        <v>80000</v>
      </c>
      <c r="I80" s="116">
        <f>H80*2.87%</f>
        <v>2296</v>
      </c>
      <c r="J80" s="116">
        <f>+H80*3.04%</f>
        <v>2432</v>
      </c>
      <c r="K80" s="116"/>
      <c r="L80" s="116">
        <f>+J80+I80+K80</f>
        <v>4728</v>
      </c>
      <c r="M80" s="116">
        <f>+H80-L80</f>
        <v>75272</v>
      </c>
      <c r="N80" s="116">
        <f t="shared" si="38"/>
        <v>7400.9372916666662</v>
      </c>
      <c r="O80" s="116"/>
      <c r="P80" s="116">
        <v>5555.72</v>
      </c>
      <c r="Q80" s="116">
        <f>+P80+N80+L80</f>
        <v>17684.657291666666</v>
      </c>
      <c r="R80" s="116">
        <f>+H80-Q80</f>
        <v>62315.342708333337</v>
      </c>
    </row>
    <row r="81" spans="1:19" s="169" customFormat="1" ht="39.950000000000003" customHeight="1" x14ac:dyDescent="0.2">
      <c r="A81" s="366" t="s">
        <v>99</v>
      </c>
      <c r="B81" s="367"/>
      <c r="C81" s="100"/>
      <c r="D81" s="100"/>
      <c r="E81" s="100"/>
      <c r="F81" s="323"/>
      <c r="G81" s="323"/>
      <c r="H81" s="101">
        <f>SUM(H77:H80)</f>
        <v>350000</v>
      </c>
      <c r="I81" s="101">
        <f t="shared" ref="I81:R81" si="39">SUM(I77:I80)</f>
        <v>10045</v>
      </c>
      <c r="J81" s="101">
        <f t="shared" si="39"/>
        <v>10640</v>
      </c>
      <c r="K81" s="101">
        <f t="shared" si="39"/>
        <v>5759.34</v>
      </c>
      <c r="L81" s="101">
        <f t="shared" si="39"/>
        <v>26444.34</v>
      </c>
      <c r="M81" s="101">
        <f t="shared" si="39"/>
        <v>323555.66000000003</v>
      </c>
      <c r="N81" s="101">
        <f t="shared" si="39"/>
        <v>35220.664166666669</v>
      </c>
      <c r="O81" s="101">
        <f t="shared" si="39"/>
        <v>0</v>
      </c>
      <c r="P81" s="101">
        <f t="shared" si="39"/>
        <v>13854.23</v>
      </c>
      <c r="Q81" s="101">
        <f t="shared" si="39"/>
        <v>75519.234166666662</v>
      </c>
      <c r="R81" s="101">
        <f t="shared" si="39"/>
        <v>274480.76583333337</v>
      </c>
      <c r="S81" s="345"/>
    </row>
    <row r="82" spans="1:19" s="111" customFormat="1" ht="39.950000000000003" customHeight="1" thickBot="1" x14ac:dyDescent="0.25">
      <c r="A82" s="168"/>
      <c r="B82" s="168"/>
      <c r="C82" s="168"/>
      <c r="D82" s="168"/>
      <c r="E82" s="168"/>
      <c r="F82" s="173"/>
      <c r="G82" s="173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</row>
    <row r="83" spans="1:19" s="114" customFormat="1" ht="39.950000000000003" customHeight="1" thickBot="1" x14ac:dyDescent="0.25">
      <c r="A83" s="150" t="s">
        <v>130</v>
      </c>
      <c r="B83" s="151"/>
      <c r="C83" s="151"/>
      <c r="D83" s="151"/>
      <c r="E83" s="151"/>
      <c r="F83" s="322"/>
      <c r="G83" s="322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</row>
    <row r="84" spans="1:19" s="114" customFormat="1" ht="39.950000000000003" customHeight="1" x14ac:dyDescent="0.2">
      <c r="A84" s="156">
        <f>+A80+1</f>
        <v>39</v>
      </c>
      <c r="B84" s="105" t="s">
        <v>639</v>
      </c>
      <c r="C84" s="130" t="s">
        <v>579</v>
      </c>
      <c r="D84" s="153" t="s">
        <v>411</v>
      </c>
      <c r="E84" s="153" t="s">
        <v>178</v>
      </c>
      <c r="F84" s="174" t="s">
        <v>628</v>
      </c>
      <c r="G84" s="174" t="s">
        <v>655</v>
      </c>
      <c r="H84" s="159">
        <v>145000</v>
      </c>
      <c r="I84" s="118">
        <f>H84*2.87%</f>
        <v>4161.5</v>
      </c>
      <c r="J84" s="118">
        <f>+H84*3.04%</f>
        <v>4408</v>
      </c>
      <c r="K84" s="118"/>
      <c r="L84" s="116">
        <f>+J84+I84+K84</f>
        <v>8569.5</v>
      </c>
      <c r="M84" s="116">
        <f>+H84-L84</f>
        <v>136430.5</v>
      </c>
      <c r="N84" s="116">
        <f t="shared" ref="N84:N86" si="40">+IF(M85*12&lt;=416220.01,0,IF(M84*12&lt;=624329.01,(((M84*12-416220.01)*0.15)/12),IF((M84*12&lt;=867123.01),(31216+0.2*(M84*12-624329.01))/12,((79776+0.25*(M84*12-867123.01))/12))))-O84</f>
        <v>22690.562291666665</v>
      </c>
      <c r="O84" s="116">
        <v>0</v>
      </c>
      <c r="P84" s="155">
        <v>25</v>
      </c>
      <c r="Q84" s="116">
        <f>+P84+N84+L84</f>
        <v>31285.062291666665</v>
      </c>
      <c r="R84" s="155">
        <f>+H84-Q84</f>
        <v>113714.93770833334</v>
      </c>
    </row>
    <row r="85" spans="1:19" s="114" customFormat="1" ht="39.950000000000003" customHeight="1" x14ac:dyDescent="0.2">
      <c r="A85" s="156">
        <f>+A84+1</f>
        <v>40</v>
      </c>
      <c r="B85" s="157" t="s">
        <v>451</v>
      </c>
      <c r="C85" s="130" t="s">
        <v>335</v>
      </c>
      <c r="D85" s="153" t="s">
        <v>569</v>
      </c>
      <c r="E85" s="153" t="s">
        <v>178</v>
      </c>
      <c r="F85" s="174" t="s">
        <v>603</v>
      </c>
      <c r="G85" s="174" t="s">
        <v>643</v>
      </c>
      <c r="H85" s="159">
        <v>80000</v>
      </c>
      <c r="I85" s="118">
        <f>H85*2.87%</f>
        <v>2296</v>
      </c>
      <c r="J85" s="118">
        <f>+H85*3.04%</f>
        <v>2432</v>
      </c>
      <c r="K85" s="118">
        <v>1919.78</v>
      </c>
      <c r="L85" s="116">
        <f>+J85+I85+K85</f>
        <v>6647.78</v>
      </c>
      <c r="M85" s="116">
        <f t="shared" ref="M85" si="41">+H85-L85</f>
        <v>73352.22</v>
      </c>
      <c r="N85" s="116">
        <f t="shared" si="40"/>
        <v>6920.9922916666665</v>
      </c>
      <c r="O85" s="116"/>
      <c r="P85" s="155">
        <v>1290.29</v>
      </c>
      <c r="Q85" s="116">
        <f>+P85+N85+L85</f>
        <v>14859.062291666665</v>
      </c>
      <c r="R85" s="155">
        <f>+H85-Q85</f>
        <v>65140.937708333338</v>
      </c>
    </row>
    <row r="86" spans="1:19" s="114" customFormat="1" ht="39.950000000000003" customHeight="1" x14ac:dyDescent="0.2">
      <c r="A86" s="156">
        <f>+A85+1</f>
        <v>41</v>
      </c>
      <c r="B86" s="163" t="s">
        <v>505</v>
      </c>
      <c r="C86" s="134" t="s">
        <v>335</v>
      </c>
      <c r="D86" s="107" t="s">
        <v>569</v>
      </c>
      <c r="E86" s="153" t="s">
        <v>178</v>
      </c>
      <c r="F86" s="174" t="s">
        <v>614</v>
      </c>
      <c r="G86" s="174" t="s">
        <v>645</v>
      </c>
      <c r="H86" s="118">
        <v>80000</v>
      </c>
      <c r="I86" s="118">
        <f>H86*2.87%</f>
        <v>2296</v>
      </c>
      <c r="J86" s="118">
        <f>+H86*3.04%</f>
        <v>2432</v>
      </c>
      <c r="K86" s="118">
        <v>0</v>
      </c>
      <c r="L86" s="116">
        <f t="shared" ref="L86:L87" si="42">+J86+I86+K86</f>
        <v>4728</v>
      </c>
      <c r="M86" s="116">
        <f>+H86-L86</f>
        <v>75272</v>
      </c>
      <c r="N86" s="116">
        <f t="shared" si="40"/>
        <v>7400.9372916666662</v>
      </c>
      <c r="O86" s="116">
        <v>0</v>
      </c>
      <c r="P86" s="155">
        <v>25</v>
      </c>
      <c r="Q86" s="118">
        <f>+P86+N86+L86</f>
        <v>12153.937291666665</v>
      </c>
      <c r="R86" s="155">
        <f>+H86-Q86</f>
        <v>67846.062708333338</v>
      </c>
    </row>
    <row r="87" spans="1:19" s="114" customFormat="1" ht="39.950000000000003" customHeight="1" x14ac:dyDescent="0.2">
      <c r="A87" s="156">
        <f>+A86+1</f>
        <v>42</v>
      </c>
      <c r="B87" s="163" t="s">
        <v>644</v>
      </c>
      <c r="C87" s="134" t="s">
        <v>335</v>
      </c>
      <c r="D87" s="107" t="s">
        <v>569</v>
      </c>
      <c r="E87" s="153" t="s">
        <v>178</v>
      </c>
      <c r="F87" s="174" t="s">
        <v>614</v>
      </c>
      <c r="G87" s="174" t="s">
        <v>645</v>
      </c>
      <c r="H87" s="118">
        <v>80000</v>
      </c>
      <c r="I87" s="118">
        <f>H87*2.87%</f>
        <v>2296</v>
      </c>
      <c r="J87" s="118">
        <f>+H87*3.04%</f>
        <v>2432</v>
      </c>
      <c r="K87" s="118">
        <v>1919.78</v>
      </c>
      <c r="L87" s="116">
        <f t="shared" si="42"/>
        <v>6647.78</v>
      </c>
      <c r="M87" s="116">
        <f>+H87-L87</f>
        <v>73352.22</v>
      </c>
      <c r="N87" s="116">
        <f>+IF(M88*12&lt;=416220.01,0,IF(M87*12&lt;=624329.01,(((M87*12-416220.01)*0.15)/12),IF((M87*12&lt;=867123.01),(31216+0.2*(M87*12-624329.01))/12,((79776+0.25*(M87*12-867123.01))/12))))-O87</f>
        <v>6920.9922916666665</v>
      </c>
      <c r="O87" s="116"/>
      <c r="P87" s="155">
        <v>225</v>
      </c>
      <c r="Q87" s="118">
        <f>+P87+N87+L87</f>
        <v>13793.772291666666</v>
      </c>
      <c r="R87" s="155">
        <f>+H87-Q87</f>
        <v>66206.227708333332</v>
      </c>
    </row>
    <row r="88" spans="1:19" s="114" customFormat="1" ht="39.950000000000003" customHeight="1" thickBot="1" x14ac:dyDescent="0.25">
      <c r="A88" s="366" t="s">
        <v>99</v>
      </c>
      <c r="B88" s="367"/>
      <c r="C88" s="100"/>
      <c r="D88" s="100"/>
      <c r="E88" s="100"/>
      <c r="F88" s="323"/>
      <c r="G88" s="323"/>
      <c r="H88" s="101">
        <f>SUM(H84:H87)</f>
        <v>385000</v>
      </c>
      <c r="I88" s="101">
        <f t="shared" ref="I88:R88" si="43">SUM(I84:I87)</f>
        <v>11049.5</v>
      </c>
      <c r="J88" s="101">
        <f t="shared" si="43"/>
        <v>11704</v>
      </c>
      <c r="K88" s="101">
        <f t="shared" si="43"/>
        <v>3839.56</v>
      </c>
      <c r="L88" s="101">
        <f t="shared" si="43"/>
        <v>26593.059999999998</v>
      </c>
      <c r="M88" s="101">
        <f t="shared" si="43"/>
        <v>358406.93999999994</v>
      </c>
      <c r="N88" s="101">
        <f t="shared" si="43"/>
        <v>43933.484166666669</v>
      </c>
      <c r="O88" s="101">
        <f t="shared" si="43"/>
        <v>0</v>
      </c>
      <c r="P88" s="101">
        <f t="shared" si="43"/>
        <v>1565.29</v>
      </c>
      <c r="Q88" s="101">
        <f t="shared" si="43"/>
        <v>72091.834166666667</v>
      </c>
      <c r="R88" s="101">
        <f t="shared" si="43"/>
        <v>312908.16583333333</v>
      </c>
      <c r="S88" s="345"/>
    </row>
    <row r="89" spans="1:19" s="114" customFormat="1" ht="39.950000000000003" customHeight="1" thickBot="1" x14ac:dyDescent="0.25">
      <c r="A89" s="150"/>
      <c r="B89" s="151"/>
      <c r="C89" s="151"/>
      <c r="D89" s="151"/>
      <c r="E89" s="151"/>
      <c r="F89" s="322"/>
      <c r="G89" s="322"/>
      <c r="H89" s="151"/>
      <c r="I89" s="151"/>
      <c r="J89" s="151"/>
      <c r="K89" s="151"/>
      <c r="L89" s="151"/>
      <c r="M89" s="151"/>
      <c r="N89" s="151"/>
      <c r="O89" s="151"/>
      <c r="Q89" s="151"/>
      <c r="R89" s="151"/>
    </row>
    <row r="90" spans="1:19" s="114" customFormat="1" ht="39.950000000000003" customHeight="1" thickBot="1" x14ac:dyDescent="0.25">
      <c r="A90" s="150" t="s">
        <v>430</v>
      </c>
      <c r="B90" s="151"/>
      <c r="C90" s="151"/>
      <c r="D90" s="151"/>
      <c r="E90" s="151"/>
      <c r="F90" s="322"/>
      <c r="G90" s="322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</row>
    <row r="91" spans="1:19" s="114" customFormat="1" ht="39.950000000000003" customHeight="1" x14ac:dyDescent="0.2">
      <c r="A91" s="152">
        <f>+A87+1</f>
        <v>43</v>
      </c>
      <c r="B91" s="157" t="s">
        <v>318</v>
      </c>
      <c r="C91" s="130" t="s">
        <v>334</v>
      </c>
      <c r="D91" s="153" t="s">
        <v>569</v>
      </c>
      <c r="E91" s="153" t="s">
        <v>178</v>
      </c>
      <c r="F91" s="320" t="s">
        <v>617</v>
      </c>
      <c r="G91" s="320" t="s">
        <v>658</v>
      </c>
      <c r="H91" s="159">
        <v>85000</v>
      </c>
      <c r="I91" s="116">
        <f>H91*2.87%</f>
        <v>2439.5</v>
      </c>
      <c r="J91" s="116">
        <f>+H91*3.04%</f>
        <v>2584</v>
      </c>
      <c r="K91" s="116"/>
      <c r="L91" s="116">
        <f>+J91+I91+K91</f>
        <v>5023.5</v>
      </c>
      <c r="M91" s="116">
        <f>+H91-L91</f>
        <v>79976.5</v>
      </c>
      <c r="N91" s="116">
        <f>+IF(M91*12&lt;=416220.01,0,IF(M91*12&lt;=624329.01,(((M91*12-416220.01)*0.15)/12),IF((M91*12&lt;=867123.01),(31216+0.2*(M91*12-624329.01))/12,((79776+0.25*(M91*12-867123.01))/12))))</f>
        <v>8577.0622916666671</v>
      </c>
      <c r="O91" s="116"/>
      <c r="P91" s="116">
        <v>6270.49</v>
      </c>
      <c r="Q91" s="116">
        <f>+P91+N91+L91</f>
        <v>19871.052291666667</v>
      </c>
      <c r="R91" s="116">
        <f>+H91-Q91</f>
        <v>65128.947708333333</v>
      </c>
    </row>
    <row r="92" spans="1:19" s="169" customFormat="1" ht="41.25" customHeight="1" x14ac:dyDescent="0.2">
      <c r="A92" s="175">
        <f>+A91+1</f>
        <v>44</v>
      </c>
      <c r="B92" s="176" t="s">
        <v>532</v>
      </c>
      <c r="C92" s="129" t="s">
        <v>335</v>
      </c>
      <c r="D92" s="174" t="s">
        <v>569</v>
      </c>
      <c r="E92" s="102" t="s">
        <v>178</v>
      </c>
      <c r="F92" s="174" t="s">
        <v>603</v>
      </c>
      <c r="G92" s="174" t="s">
        <v>643</v>
      </c>
      <c r="H92" s="155">
        <v>80000</v>
      </c>
      <c r="I92" s="118">
        <f>H92*2.87%</f>
        <v>2296</v>
      </c>
      <c r="J92" s="118">
        <f>+H92*3.04%</f>
        <v>2432</v>
      </c>
      <c r="K92" s="118"/>
      <c r="L92" s="116">
        <f>+J92+I92+K92</f>
        <v>4728</v>
      </c>
      <c r="M92" s="116">
        <f>+H92-L92</f>
        <v>75272</v>
      </c>
      <c r="N92" s="116">
        <f>+IF(M92*12&lt;=416220.01,0,IF(M92*12&lt;=624329.01,(((M92*12-416220.01)*0.15)/12),IF((M92*12&lt;=867123.01),(31216+0.2*(M92*12-624329.01))/12,((79776+0.25*(M92*12-867123.01))/12))))</f>
        <v>7400.9372916666662</v>
      </c>
      <c r="O92" s="116"/>
      <c r="P92" s="159">
        <v>1790.29</v>
      </c>
      <c r="Q92" s="116">
        <f>+P92+N92+L92</f>
        <v>13919.227291666666</v>
      </c>
      <c r="R92" s="155">
        <f>+H92-Q92</f>
        <v>66080.77270833333</v>
      </c>
    </row>
    <row r="93" spans="1:19" s="114" customFormat="1" ht="39.950000000000003" customHeight="1" thickBot="1" x14ac:dyDescent="0.25">
      <c r="A93" s="366" t="s">
        <v>99</v>
      </c>
      <c r="B93" s="367"/>
      <c r="C93" s="100"/>
      <c r="D93" s="100"/>
      <c r="E93" s="100"/>
      <c r="F93" s="323"/>
      <c r="G93" s="323"/>
      <c r="H93" s="101">
        <f t="shared" ref="H93:R93" si="44">SUM(H91:H92)</f>
        <v>165000</v>
      </c>
      <c r="I93" s="101">
        <f t="shared" si="44"/>
        <v>4735.5</v>
      </c>
      <c r="J93" s="101">
        <f t="shared" si="44"/>
        <v>5016</v>
      </c>
      <c r="K93" s="101">
        <f t="shared" si="44"/>
        <v>0</v>
      </c>
      <c r="L93" s="101">
        <f t="shared" si="44"/>
        <v>9751.5</v>
      </c>
      <c r="M93" s="101">
        <f t="shared" si="44"/>
        <v>155248.5</v>
      </c>
      <c r="N93" s="101">
        <f t="shared" si="44"/>
        <v>15977.999583333334</v>
      </c>
      <c r="O93" s="101">
        <f t="shared" si="44"/>
        <v>0</v>
      </c>
      <c r="P93" s="101">
        <f t="shared" si="44"/>
        <v>8060.78</v>
      </c>
      <c r="Q93" s="101">
        <f t="shared" si="44"/>
        <v>33790.279583333337</v>
      </c>
      <c r="R93" s="101">
        <f t="shared" si="44"/>
        <v>131209.72041666665</v>
      </c>
      <c r="S93" s="345"/>
    </row>
    <row r="94" spans="1:19" s="114" customFormat="1" ht="39.950000000000003" customHeight="1" thickBot="1" x14ac:dyDescent="0.25">
      <c r="A94" s="150" t="s">
        <v>133</v>
      </c>
      <c r="B94" s="151"/>
      <c r="C94" s="151"/>
      <c r="D94" s="151"/>
      <c r="E94" s="151"/>
      <c r="F94" s="322"/>
      <c r="G94" s="322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</row>
    <row r="95" spans="1:19" s="169" customFormat="1" ht="39.950000000000003" customHeight="1" x14ac:dyDescent="0.2">
      <c r="A95" s="156">
        <f>+A92+1</f>
        <v>45</v>
      </c>
      <c r="B95" s="157" t="s">
        <v>481</v>
      </c>
      <c r="C95" s="130" t="s">
        <v>335</v>
      </c>
      <c r="D95" s="153" t="s">
        <v>569</v>
      </c>
      <c r="E95" s="153" t="s">
        <v>178</v>
      </c>
      <c r="F95" s="174" t="s">
        <v>604</v>
      </c>
      <c r="G95" s="174" t="s">
        <v>633</v>
      </c>
      <c r="H95" s="159">
        <v>80000</v>
      </c>
      <c r="I95" s="116">
        <f>H95*2.87%</f>
        <v>2296</v>
      </c>
      <c r="J95" s="116">
        <f>+H95*3.04%</f>
        <v>2432</v>
      </c>
      <c r="K95" s="116"/>
      <c r="L95" s="116">
        <f>+J95+I95+K95</f>
        <v>4728</v>
      </c>
      <c r="M95" s="116">
        <f>+H95-L95</f>
        <v>75272</v>
      </c>
      <c r="N95" s="116">
        <v>7400.94</v>
      </c>
      <c r="O95" s="116"/>
      <c r="P95" s="155">
        <v>1090.29</v>
      </c>
      <c r="Q95" s="116">
        <f>+P95+N95+L95</f>
        <v>13219.23</v>
      </c>
      <c r="R95" s="159">
        <f>+H95-Q95</f>
        <v>66780.77</v>
      </c>
    </row>
    <row r="96" spans="1:19" s="169" customFormat="1" ht="39.950000000000003" customHeight="1" x14ac:dyDescent="0.2">
      <c r="A96" s="156">
        <f>+A95+1</f>
        <v>46</v>
      </c>
      <c r="B96" s="157" t="s">
        <v>359</v>
      </c>
      <c r="C96" s="130" t="s">
        <v>334</v>
      </c>
      <c r="D96" s="153" t="s">
        <v>569</v>
      </c>
      <c r="E96" s="153" t="s">
        <v>178</v>
      </c>
      <c r="F96" s="174" t="s">
        <v>628</v>
      </c>
      <c r="G96" s="174" t="s">
        <v>655</v>
      </c>
      <c r="H96" s="159">
        <v>90000</v>
      </c>
      <c r="I96" s="116">
        <f>H96*2.87%</f>
        <v>2583</v>
      </c>
      <c r="J96" s="116">
        <f>+H96*3.04%</f>
        <v>2736</v>
      </c>
      <c r="K96" s="116"/>
      <c r="L96" s="116">
        <f>+J96+I96+K96</f>
        <v>5319</v>
      </c>
      <c r="M96" s="116">
        <f>+H96-L96</f>
        <v>84681</v>
      </c>
      <c r="N96" s="116">
        <f>+IF(M69*12&lt;=416220.01,0,IF(M96*12&lt;=624329.01,(((M96*12-416220.01)*0.15)/12),IF((M96*12&lt;=867123.01),(31216+0.2*(M96*12-624329.01))/12,((79776+0.25*(M96*12-867123.01))/12))))-O96</f>
        <v>9753.1872916666671</v>
      </c>
      <c r="O96" s="116"/>
      <c r="P96" s="155">
        <f>100+125</f>
        <v>225</v>
      </c>
      <c r="Q96" s="116">
        <f>+P96+N96+L96</f>
        <v>15297.187291666667</v>
      </c>
      <c r="R96" s="159">
        <f>+H96-Q96</f>
        <v>74702.812708333338</v>
      </c>
    </row>
    <row r="97" spans="1:19" s="114" customFormat="1" ht="39.950000000000003" customHeight="1" x14ac:dyDescent="0.2">
      <c r="A97" s="366" t="s">
        <v>99</v>
      </c>
      <c r="B97" s="367"/>
      <c r="C97" s="100"/>
      <c r="D97" s="100"/>
      <c r="E97" s="100"/>
      <c r="F97" s="323"/>
      <c r="G97" s="323"/>
      <c r="H97" s="101">
        <f>SUM(H95:H96)</f>
        <v>170000</v>
      </c>
      <c r="I97" s="101">
        <f t="shared" ref="I97:R97" si="45">SUM(I95:I96)</f>
        <v>4879</v>
      </c>
      <c r="J97" s="101">
        <f t="shared" si="45"/>
        <v>5168</v>
      </c>
      <c r="K97" s="101">
        <f t="shared" si="45"/>
        <v>0</v>
      </c>
      <c r="L97" s="101">
        <f t="shared" si="45"/>
        <v>10047</v>
      </c>
      <c r="M97" s="101">
        <f t="shared" si="45"/>
        <v>159953</v>
      </c>
      <c r="N97" s="101">
        <f t="shared" si="45"/>
        <v>17154.127291666668</v>
      </c>
      <c r="O97" s="101">
        <f t="shared" si="45"/>
        <v>0</v>
      </c>
      <c r="P97" s="101">
        <f t="shared" si="45"/>
        <v>1315.29</v>
      </c>
      <c r="Q97" s="101">
        <f t="shared" si="45"/>
        <v>28516.417291666665</v>
      </c>
      <c r="R97" s="101">
        <f t="shared" si="45"/>
        <v>141483.58270833333</v>
      </c>
      <c r="S97" s="345"/>
    </row>
    <row r="98" spans="1:19" s="114" customFormat="1" ht="39.950000000000003" customHeight="1" thickBot="1" x14ac:dyDescent="0.25">
      <c r="A98" s="168"/>
      <c r="B98" s="168"/>
      <c r="C98" s="168"/>
      <c r="D98" s="168"/>
      <c r="E98" s="168"/>
      <c r="F98" s="173"/>
      <c r="G98" s="173"/>
    </row>
    <row r="99" spans="1:19" s="98" customFormat="1" ht="39.950000000000003" customHeight="1" thickBot="1" x14ac:dyDescent="0.25">
      <c r="A99" s="150" t="s">
        <v>135</v>
      </c>
      <c r="B99" s="151"/>
      <c r="C99" s="151"/>
      <c r="D99" s="151"/>
      <c r="E99" s="151"/>
      <c r="F99" s="322"/>
      <c r="G99" s="326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</row>
    <row r="100" spans="1:19" s="114" customFormat="1" ht="39.950000000000003" customHeight="1" x14ac:dyDescent="0.2">
      <c r="A100" s="156">
        <f>+A96+1</f>
        <v>47</v>
      </c>
      <c r="B100" s="157" t="s">
        <v>354</v>
      </c>
      <c r="C100" s="130" t="s">
        <v>334</v>
      </c>
      <c r="D100" s="153" t="s">
        <v>569</v>
      </c>
      <c r="E100" s="153" t="s">
        <v>178</v>
      </c>
      <c r="F100" s="174" t="s">
        <v>603</v>
      </c>
      <c r="G100" s="174" t="s">
        <v>643</v>
      </c>
      <c r="H100" s="159">
        <v>80000</v>
      </c>
      <c r="I100" s="116">
        <f>H100*2.87%</f>
        <v>2296</v>
      </c>
      <c r="J100" s="116">
        <f>+H100*3.04%</f>
        <v>2432</v>
      </c>
      <c r="K100" s="116"/>
      <c r="L100" s="116">
        <f>+J100+I100+K100</f>
        <v>4728</v>
      </c>
      <c r="M100" s="116">
        <f>+H100-L100</f>
        <v>75272</v>
      </c>
      <c r="N100" s="116">
        <f>+IF(M100*12&lt;=416220.01,0,IF(M100*12&lt;=624329.01,(((M100*12-416220.01)*0.15)/12),IF((M100*12&lt;=867123.01),(31216+0.2*(M100*12-624329.01))/12,((79776+0.25*(M100*12-867123.01))/12))))</f>
        <v>7400.9372916666662</v>
      </c>
      <c r="O100" s="116"/>
      <c r="P100" s="155">
        <v>225</v>
      </c>
      <c r="Q100" s="116">
        <f>+P100+N100+L100</f>
        <v>12353.937291666665</v>
      </c>
      <c r="R100" s="159">
        <f>+H100-Q100</f>
        <v>67646.062708333338</v>
      </c>
    </row>
    <row r="101" spans="1:19" s="114" customFormat="1" ht="39.950000000000003" customHeight="1" x14ac:dyDescent="0.2">
      <c r="A101" s="366" t="s">
        <v>99</v>
      </c>
      <c r="B101" s="367"/>
      <c r="C101" s="100"/>
      <c r="D101" s="100"/>
      <c r="E101" s="100"/>
      <c r="F101" s="323"/>
      <c r="G101" s="323"/>
      <c r="H101" s="101">
        <f>SUM(H100)</f>
        <v>80000</v>
      </c>
      <c r="I101" s="101">
        <f t="shared" ref="I101:R101" si="46">SUM(I100)</f>
        <v>2296</v>
      </c>
      <c r="J101" s="101">
        <f t="shared" si="46"/>
        <v>2432</v>
      </c>
      <c r="K101" s="101">
        <f t="shared" si="46"/>
        <v>0</v>
      </c>
      <c r="L101" s="101">
        <f t="shared" si="46"/>
        <v>4728</v>
      </c>
      <c r="M101" s="101">
        <f t="shared" si="46"/>
        <v>75272</v>
      </c>
      <c r="N101" s="101">
        <f t="shared" si="46"/>
        <v>7400.9372916666662</v>
      </c>
      <c r="O101" s="101">
        <f t="shared" si="46"/>
        <v>0</v>
      </c>
      <c r="P101" s="101">
        <f t="shared" si="46"/>
        <v>225</v>
      </c>
      <c r="Q101" s="101">
        <f t="shared" si="46"/>
        <v>12353.937291666665</v>
      </c>
      <c r="R101" s="101">
        <f t="shared" si="46"/>
        <v>67646.062708333338</v>
      </c>
      <c r="S101" s="345"/>
    </row>
    <row r="102" spans="1:19" s="114" customFormat="1" ht="39.950000000000003" customHeight="1" thickBot="1" x14ac:dyDescent="0.25">
      <c r="A102" s="168"/>
      <c r="B102" s="168"/>
      <c r="C102" s="168"/>
      <c r="D102" s="168"/>
      <c r="E102" s="168"/>
      <c r="F102" s="173"/>
      <c r="G102" s="173"/>
    </row>
    <row r="103" spans="1:19" s="114" customFormat="1" ht="39.950000000000003" customHeight="1" thickBot="1" x14ac:dyDescent="0.25">
      <c r="A103" s="150" t="s">
        <v>136</v>
      </c>
      <c r="B103" s="151"/>
      <c r="C103" s="151"/>
      <c r="D103" s="151"/>
      <c r="E103" s="151"/>
      <c r="F103" s="322"/>
      <c r="G103" s="322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</row>
    <row r="104" spans="1:19" s="98" customFormat="1" ht="39.950000000000003" customHeight="1" x14ac:dyDescent="0.2">
      <c r="A104" s="156">
        <f>+A100+1</f>
        <v>48</v>
      </c>
      <c r="B104" s="97" t="s">
        <v>344</v>
      </c>
      <c r="C104" s="132" t="s">
        <v>335</v>
      </c>
      <c r="D104" s="174" t="s">
        <v>569</v>
      </c>
      <c r="E104" s="174" t="s">
        <v>178</v>
      </c>
      <c r="F104" s="174" t="s">
        <v>604</v>
      </c>
      <c r="G104" s="174" t="s">
        <v>633</v>
      </c>
      <c r="H104" s="159">
        <v>85000</v>
      </c>
      <c r="I104" s="116">
        <f>H104*2.87%</f>
        <v>2439.5</v>
      </c>
      <c r="J104" s="116">
        <f>+H104*3.04%</f>
        <v>2584</v>
      </c>
      <c r="K104" s="116"/>
      <c r="L104" s="116">
        <f>+J104+I104+K104</f>
        <v>5023.5</v>
      </c>
      <c r="M104" s="116">
        <f>+H104-L104</f>
        <v>79976.5</v>
      </c>
      <c r="N104" s="116">
        <f>+IF(M104*12&lt;=416220.01,0,IF(M104*12&lt;=624329.01,(((M104*12-416220.01)*0.15)/12),IF((M104*12&lt;=867123.01),(31216+0.2*(M104*12-624329.01))/12,((79776+0.25*(M104*12-867123.01))/12))))</f>
        <v>8577.0622916666671</v>
      </c>
      <c r="O104" s="116"/>
      <c r="P104" s="155">
        <v>6731.32</v>
      </c>
      <c r="Q104" s="116">
        <f>+P104+N104+L104</f>
        <v>20331.882291666669</v>
      </c>
      <c r="R104" s="159">
        <f>+H104-Q104</f>
        <v>64668.117708333331</v>
      </c>
    </row>
    <row r="105" spans="1:19" s="98" customFormat="1" ht="39.950000000000003" customHeight="1" x14ac:dyDescent="0.2">
      <c r="A105" s="156">
        <f>+A104+1</f>
        <v>49</v>
      </c>
      <c r="B105" s="97" t="s">
        <v>353</v>
      </c>
      <c r="C105" s="132" t="s">
        <v>335</v>
      </c>
      <c r="D105" s="174" t="s">
        <v>569</v>
      </c>
      <c r="E105" s="174" t="s">
        <v>178</v>
      </c>
      <c r="F105" s="174" t="s">
        <v>603</v>
      </c>
      <c r="G105" s="174" t="s">
        <v>643</v>
      </c>
      <c r="H105" s="159">
        <v>85000</v>
      </c>
      <c r="I105" s="116">
        <f>H105*2.87%</f>
        <v>2439.5</v>
      </c>
      <c r="J105" s="116">
        <f>+H105*3.04%</f>
        <v>2584</v>
      </c>
      <c r="K105" s="116"/>
      <c r="L105" s="116">
        <f>+J105+I105+K105</f>
        <v>5023.5</v>
      </c>
      <c r="M105" s="116">
        <f>+H105-L105</f>
        <v>79976.5</v>
      </c>
      <c r="N105" s="116">
        <f t="shared" ref="N105:N107" si="47">+IF(M105*12&lt;=416220.01,0,IF(M105*12&lt;=624329.01,(((M105*12-416220.01)*0.15)/12),IF((M105*12&lt;=867123.01),(31216+0.2*(M105*12-624329.01))/12,((79776+0.25*(M105*12-867123.01))/12))))</f>
        <v>8577.0622916666671</v>
      </c>
      <c r="O105" s="116"/>
      <c r="P105" s="155">
        <f>125+100</f>
        <v>225</v>
      </c>
      <c r="Q105" s="116">
        <f t="shared" ref="Q105:Q107" si="48">+P105+N105+L105</f>
        <v>13825.562291666667</v>
      </c>
      <c r="R105" s="159">
        <f t="shared" ref="R105:R107" si="49">+H105-Q105</f>
        <v>71174.437708333338</v>
      </c>
    </row>
    <row r="106" spans="1:19" s="114" customFormat="1" ht="39.950000000000003" customHeight="1" x14ac:dyDescent="0.2">
      <c r="A106" s="156">
        <f>+A105+1</f>
        <v>50</v>
      </c>
      <c r="B106" s="97" t="s">
        <v>506</v>
      </c>
      <c r="C106" s="132" t="s">
        <v>335</v>
      </c>
      <c r="D106" s="174" t="s">
        <v>569</v>
      </c>
      <c r="E106" s="174" t="s">
        <v>178</v>
      </c>
      <c r="F106" s="174" t="s">
        <v>614</v>
      </c>
      <c r="G106" s="174" t="s">
        <v>645</v>
      </c>
      <c r="H106" s="159">
        <v>80000</v>
      </c>
      <c r="I106" s="116">
        <f>H106*2.87%</f>
        <v>2296</v>
      </c>
      <c r="J106" s="116">
        <f>+H106*3.04%</f>
        <v>2432</v>
      </c>
      <c r="K106" s="116">
        <v>1919.78</v>
      </c>
      <c r="L106" s="116">
        <f>+J106+I106+K106</f>
        <v>6647.78</v>
      </c>
      <c r="M106" s="116">
        <f>+H106-L106</f>
        <v>73352.22</v>
      </c>
      <c r="N106" s="116">
        <f t="shared" si="47"/>
        <v>6920.9922916666665</v>
      </c>
      <c r="O106" s="116"/>
      <c r="P106" s="155">
        <v>5553.51</v>
      </c>
      <c r="Q106" s="116">
        <f t="shared" si="48"/>
        <v>19122.282291666666</v>
      </c>
      <c r="R106" s="159">
        <f t="shared" si="49"/>
        <v>60877.717708333337</v>
      </c>
    </row>
    <row r="107" spans="1:19" s="114" customFormat="1" ht="39.950000000000003" customHeight="1" x14ac:dyDescent="0.2">
      <c r="A107" s="156">
        <f>+A106+1</f>
        <v>51</v>
      </c>
      <c r="B107" s="97" t="s">
        <v>415</v>
      </c>
      <c r="C107" s="132" t="s">
        <v>334</v>
      </c>
      <c r="D107" s="174" t="s">
        <v>569</v>
      </c>
      <c r="E107" s="174" t="s">
        <v>178</v>
      </c>
      <c r="F107" s="320" t="s">
        <v>617</v>
      </c>
      <c r="G107" s="320" t="s">
        <v>658</v>
      </c>
      <c r="H107" s="159">
        <v>80000</v>
      </c>
      <c r="I107" s="116">
        <f>H107*2.87%</f>
        <v>2296</v>
      </c>
      <c r="J107" s="116">
        <f>+H107*3.04%</f>
        <v>2432</v>
      </c>
      <c r="K107" s="116"/>
      <c r="L107" s="116">
        <f>+J107+I107+K107</f>
        <v>4728</v>
      </c>
      <c r="M107" s="116">
        <f>+H107-L107</f>
        <v>75272</v>
      </c>
      <c r="N107" s="116">
        <f t="shared" si="47"/>
        <v>7400.9372916666662</v>
      </c>
      <c r="O107" s="116"/>
      <c r="P107" s="155">
        <v>25</v>
      </c>
      <c r="Q107" s="116">
        <f t="shared" si="48"/>
        <v>12153.937291666665</v>
      </c>
      <c r="R107" s="159">
        <f t="shared" si="49"/>
        <v>67846.062708333338</v>
      </c>
    </row>
    <row r="108" spans="1:19" s="111" customFormat="1" ht="39.950000000000003" customHeight="1" thickBot="1" x14ac:dyDescent="0.25">
      <c r="A108" s="369" t="s">
        <v>99</v>
      </c>
      <c r="B108" s="370"/>
      <c r="C108" s="100"/>
      <c r="D108" s="100"/>
      <c r="E108" s="100"/>
      <c r="F108" s="323"/>
      <c r="G108" s="323"/>
      <c r="H108" s="101">
        <f>SUM(H104:H107)</f>
        <v>330000</v>
      </c>
      <c r="I108" s="101">
        <f t="shared" ref="I108:R108" si="50">SUM(I104:I107)</f>
        <v>9471</v>
      </c>
      <c r="J108" s="101">
        <f t="shared" si="50"/>
        <v>10032</v>
      </c>
      <c r="K108" s="101">
        <f t="shared" si="50"/>
        <v>1919.78</v>
      </c>
      <c r="L108" s="101">
        <f t="shared" si="50"/>
        <v>21422.78</v>
      </c>
      <c r="M108" s="101">
        <f t="shared" si="50"/>
        <v>308577.21999999997</v>
      </c>
      <c r="N108" s="101">
        <f>SUM(N104:N107)</f>
        <v>31476.054166666665</v>
      </c>
      <c r="O108" s="101">
        <f t="shared" si="50"/>
        <v>0</v>
      </c>
      <c r="P108" s="101">
        <f t="shared" si="50"/>
        <v>12534.83</v>
      </c>
      <c r="Q108" s="101">
        <f t="shared" si="50"/>
        <v>65433.664166666669</v>
      </c>
      <c r="R108" s="101">
        <f t="shared" si="50"/>
        <v>264566.33583333332</v>
      </c>
      <c r="S108" s="344"/>
    </row>
    <row r="109" spans="1:19" s="111" customFormat="1" ht="39.950000000000003" customHeight="1" thickBot="1" x14ac:dyDescent="0.25">
      <c r="A109" s="150" t="s">
        <v>137</v>
      </c>
      <c r="B109" s="151"/>
      <c r="C109" s="151"/>
      <c r="D109" s="151"/>
      <c r="E109" s="151"/>
      <c r="F109" s="322"/>
      <c r="G109" s="322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</row>
    <row r="110" spans="1:19" s="98" customFormat="1" ht="39.950000000000003" customHeight="1" x14ac:dyDescent="0.2">
      <c r="A110" s="152">
        <f>+A107+1</f>
        <v>52</v>
      </c>
      <c r="B110" s="105" t="s">
        <v>419</v>
      </c>
      <c r="C110" s="130" t="s">
        <v>334</v>
      </c>
      <c r="D110" s="153" t="s">
        <v>569</v>
      </c>
      <c r="E110" s="153" t="s">
        <v>178</v>
      </c>
      <c r="F110" s="174" t="s">
        <v>604</v>
      </c>
      <c r="G110" s="174" t="s">
        <v>633</v>
      </c>
      <c r="H110" s="159">
        <v>80000</v>
      </c>
      <c r="I110" s="116">
        <f>H110*2.87%</f>
        <v>2296</v>
      </c>
      <c r="J110" s="116">
        <f>+H110*3.04%</f>
        <v>2432</v>
      </c>
      <c r="K110" s="116"/>
      <c r="L110" s="116">
        <f>+J110+I110+K110</f>
        <v>4728</v>
      </c>
      <c r="M110" s="116">
        <f>+H110-L110</f>
        <v>75272</v>
      </c>
      <c r="N110" s="116">
        <f t="shared" ref="N110:N111" si="51">+IF(M110*12&lt;=416220.01,0,IF(M110*12&lt;=624329.01,(((M110*12-416220.01)*0.15)/12),IF((M110*12&lt;=867123.01),(31216+0.2*(M110*12-624329.01))/12,((79776+0.25*(M110*12-867123.01))/12))))</f>
        <v>7400.9372916666662</v>
      </c>
      <c r="O110" s="116">
        <v>0</v>
      </c>
      <c r="P110" s="155">
        <v>25</v>
      </c>
      <c r="Q110" s="116">
        <f>+P110+N110+L110</f>
        <v>12153.937291666665</v>
      </c>
      <c r="R110" s="159">
        <f>+H110-Q110</f>
        <v>67846.062708333338</v>
      </c>
    </row>
    <row r="111" spans="1:19" s="98" customFormat="1" ht="39.950000000000003" customHeight="1" x14ac:dyDescent="0.2">
      <c r="A111" s="152">
        <f>+A110+1</f>
        <v>53</v>
      </c>
      <c r="B111" s="105" t="s">
        <v>621</v>
      </c>
      <c r="C111" s="130" t="s">
        <v>335</v>
      </c>
      <c r="D111" s="153" t="s">
        <v>615</v>
      </c>
      <c r="E111" s="153" t="s">
        <v>178</v>
      </c>
      <c r="F111" s="154" t="s">
        <v>623</v>
      </c>
      <c r="G111" s="154" t="s">
        <v>662</v>
      </c>
      <c r="H111" s="159">
        <v>50000</v>
      </c>
      <c r="I111" s="116">
        <f>H111*2.87%</f>
        <v>1435</v>
      </c>
      <c r="J111" s="116">
        <f>+H111*3.04%</f>
        <v>1520</v>
      </c>
      <c r="K111" s="116"/>
      <c r="L111" s="116">
        <f>+J111+I111+K111</f>
        <v>2955</v>
      </c>
      <c r="M111" s="116">
        <f>+H111-L111</f>
        <v>47045</v>
      </c>
      <c r="N111" s="116">
        <f t="shared" si="51"/>
        <v>1853.9998749999997</v>
      </c>
      <c r="O111" s="116"/>
      <c r="P111" s="155">
        <v>25</v>
      </c>
      <c r="Q111" s="318">
        <f>+P111+N111+L111</f>
        <v>4833.9998749999995</v>
      </c>
      <c r="R111" s="159">
        <f>+H111-Q111</f>
        <v>45166.000124999999</v>
      </c>
    </row>
    <row r="112" spans="1:19" s="98" customFormat="1" ht="39.950000000000003" customHeight="1" thickBot="1" x14ac:dyDescent="0.25">
      <c r="A112" s="366" t="s">
        <v>99</v>
      </c>
      <c r="B112" s="367"/>
      <c r="C112" s="100"/>
      <c r="D112" s="100"/>
      <c r="E112" s="100"/>
      <c r="F112" s="323"/>
      <c r="G112" s="323"/>
      <c r="H112" s="101">
        <f t="shared" ref="H112:Q112" si="52">SUM(H110:H111)</f>
        <v>130000</v>
      </c>
      <c r="I112" s="101">
        <f t="shared" si="52"/>
        <v>3731</v>
      </c>
      <c r="J112" s="101">
        <f t="shared" si="52"/>
        <v>3952</v>
      </c>
      <c r="K112" s="101">
        <f t="shared" si="52"/>
        <v>0</v>
      </c>
      <c r="L112" s="101">
        <f t="shared" si="52"/>
        <v>7683</v>
      </c>
      <c r="M112" s="101">
        <f t="shared" si="52"/>
        <v>122317</v>
      </c>
      <c r="N112" s="101">
        <f t="shared" si="52"/>
        <v>9254.9371666666666</v>
      </c>
      <c r="O112" s="101">
        <f t="shared" si="52"/>
        <v>0</v>
      </c>
      <c r="P112" s="101">
        <f t="shared" si="52"/>
        <v>50</v>
      </c>
      <c r="Q112" s="101">
        <f t="shared" si="52"/>
        <v>16987.937166666663</v>
      </c>
      <c r="R112" s="101">
        <f>SUM(R110:R111)</f>
        <v>113012.06283333333</v>
      </c>
      <c r="S112" s="343"/>
    </row>
    <row r="113" spans="1:19" s="111" customFormat="1" ht="39.950000000000003" customHeight="1" thickBot="1" x14ac:dyDescent="0.25">
      <c r="A113" s="171" t="s">
        <v>138</v>
      </c>
      <c r="B113" s="172"/>
      <c r="C113" s="172"/>
      <c r="D113" s="172"/>
      <c r="E113" s="172"/>
      <c r="F113" s="185"/>
      <c r="G113" s="327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</row>
    <row r="114" spans="1:19" s="111" customFormat="1" ht="39.950000000000003" customHeight="1" x14ac:dyDescent="0.2">
      <c r="A114" s="301">
        <f>+A111+1</f>
        <v>54</v>
      </c>
      <c r="B114" s="157" t="s">
        <v>520</v>
      </c>
      <c r="C114" s="130" t="s">
        <v>334</v>
      </c>
      <c r="D114" s="153" t="s">
        <v>569</v>
      </c>
      <c r="E114" s="153" t="s">
        <v>178</v>
      </c>
      <c r="F114" s="320" t="s">
        <v>617</v>
      </c>
      <c r="G114" s="320" t="s">
        <v>658</v>
      </c>
      <c r="H114" s="159">
        <v>80000</v>
      </c>
      <c r="I114" s="116">
        <f>H114*2.87%</f>
        <v>2296</v>
      </c>
      <c r="J114" s="116">
        <f>+H114*3.04%</f>
        <v>2432</v>
      </c>
      <c r="K114" s="116">
        <v>1919.78</v>
      </c>
      <c r="L114" s="116">
        <f>+J114+I114+K114</f>
        <v>6647.78</v>
      </c>
      <c r="M114" s="116">
        <f>+H114-L114</f>
        <v>73352.22</v>
      </c>
      <c r="N114" s="116">
        <f t="shared" ref="N114" si="53">+IF(M114*12&lt;=416220.01,0,IF(M114*12&lt;=624329.01,(((M114*12-416220.01)*0.15)/12),IF((M114*12&lt;=867123.01),(31216+0.2*(M114*12-624329.01))/12,((79776+0.25*(M114*12-867123.01))/12))))</f>
        <v>6920.9922916666665</v>
      </c>
      <c r="O114" s="116"/>
      <c r="P114" s="159">
        <v>225</v>
      </c>
      <c r="Q114" s="116">
        <f>+P114+N114+L114</f>
        <v>13793.772291666666</v>
      </c>
      <c r="R114" s="159">
        <f>+H114-Q114</f>
        <v>66206.227708333332</v>
      </c>
    </row>
    <row r="115" spans="1:19" s="111" customFormat="1" ht="39.950000000000003" customHeight="1" x14ac:dyDescent="0.2">
      <c r="A115" s="366" t="s">
        <v>99</v>
      </c>
      <c r="B115" s="367"/>
      <c r="C115" s="100"/>
      <c r="D115" s="100"/>
      <c r="E115" s="100"/>
      <c r="F115" s="323"/>
      <c r="G115" s="323"/>
      <c r="H115" s="101">
        <f t="shared" ref="H115:R115" si="54">SUM(H114:H114)</f>
        <v>80000</v>
      </c>
      <c r="I115" s="101">
        <f t="shared" si="54"/>
        <v>2296</v>
      </c>
      <c r="J115" s="101">
        <f t="shared" si="54"/>
        <v>2432</v>
      </c>
      <c r="K115" s="101">
        <f t="shared" si="54"/>
        <v>1919.78</v>
      </c>
      <c r="L115" s="101">
        <f t="shared" si="54"/>
        <v>6647.78</v>
      </c>
      <c r="M115" s="101">
        <f t="shared" si="54"/>
        <v>73352.22</v>
      </c>
      <c r="N115" s="101">
        <f t="shared" si="54"/>
        <v>6920.9922916666665</v>
      </c>
      <c r="O115" s="101">
        <f t="shared" si="54"/>
        <v>0</v>
      </c>
      <c r="P115" s="101">
        <f t="shared" si="54"/>
        <v>225</v>
      </c>
      <c r="Q115" s="101">
        <f t="shared" si="54"/>
        <v>13793.772291666666</v>
      </c>
      <c r="R115" s="101">
        <f t="shared" si="54"/>
        <v>66206.227708333332</v>
      </c>
      <c r="S115" s="344"/>
    </row>
    <row r="116" spans="1:19" s="111" customFormat="1" ht="39.950000000000003" customHeight="1" thickBot="1" x14ac:dyDescent="0.25">
      <c r="A116" s="168"/>
      <c r="B116" s="168"/>
      <c r="C116" s="168"/>
      <c r="D116" s="168"/>
      <c r="E116" s="168"/>
      <c r="F116" s="173"/>
      <c r="G116" s="173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</row>
    <row r="117" spans="1:19" s="111" customFormat="1" ht="39.950000000000003" customHeight="1" thickBot="1" x14ac:dyDescent="0.25">
      <c r="A117" s="171" t="s">
        <v>141</v>
      </c>
      <c r="B117" s="172"/>
      <c r="C117" s="172"/>
      <c r="D117" s="172"/>
      <c r="E117" s="172"/>
      <c r="F117" s="185"/>
      <c r="G117" s="185"/>
      <c r="H117" s="172"/>
      <c r="I117" s="172"/>
      <c r="J117" s="172"/>
      <c r="K117" s="172"/>
      <c r="L117" s="172"/>
      <c r="M117" s="172"/>
      <c r="N117" s="172"/>
      <c r="O117" s="172"/>
      <c r="P117" s="172"/>
      <c r="Q117" s="172"/>
      <c r="R117" s="172"/>
    </row>
    <row r="118" spans="1:19" s="111" customFormat="1" ht="39.950000000000003" customHeight="1" x14ac:dyDescent="0.2">
      <c r="A118" s="152">
        <f>+A114+1</f>
        <v>55</v>
      </c>
      <c r="B118" s="157" t="s">
        <v>110</v>
      </c>
      <c r="C118" s="130" t="s">
        <v>334</v>
      </c>
      <c r="D118" s="142" t="s">
        <v>169</v>
      </c>
      <c r="E118" s="153" t="s">
        <v>178</v>
      </c>
      <c r="F118" s="154" t="s">
        <v>623</v>
      </c>
      <c r="G118" s="154" t="s">
        <v>662</v>
      </c>
      <c r="H118" s="164">
        <v>155000</v>
      </c>
      <c r="I118" s="116">
        <f>H118*2.87%</f>
        <v>4448.5</v>
      </c>
      <c r="J118" s="118">
        <f>+H118*3.04%</f>
        <v>4712</v>
      </c>
      <c r="K118" s="118">
        <v>1919.78</v>
      </c>
      <c r="L118" s="118">
        <f>+J118+I118+K118</f>
        <v>11080.28</v>
      </c>
      <c r="M118" s="116">
        <f>+H118-L118</f>
        <v>143919.72</v>
      </c>
      <c r="N118" s="116">
        <f>+IF(M118*12&lt;=416220.01,0,IF(M118*12&lt;=624329.01,(((M118*12-416220.01)*0.15)/12),IF((M118*12&lt;=867123.01),(31216+0.2*(M118*12-624329.01))/12,((79776+0.25*(M118*12-867123.01))/12))))</f>
        <v>24562.867291666669</v>
      </c>
      <c r="O118" s="116"/>
      <c r="P118" s="116">
        <v>10257.290000000001</v>
      </c>
      <c r="Q118" s="116">
        <f>+P118+N118+L118</f>
        <v>45900.437291666669</v>
      </c>
      <c r="R118" s="159">
        <f>+H118-Q118</f>
        <v>109099.56270833334</v>
      </c>
    </row>
    <row r="119" spans="1:19" s="111" customFormat="1" ht="39.950000000000003" customHeight="1" x14ac:dyDescent="0.2">
      <c r="A119" s="152">
        <f>+A118+1</f>
        <v>56</v>
      </c>
      <c r="B119" s="157" t="s">
        <v>622</v>
      </c>
      <c r="C119" s="130" t="s">
        <v>335</v>
      </c>
      <c r="D119" s="142" t="s">
        <v>575</v>
      </c>
      <c r="E119" s="153" t="s">
        <v>178</v>
      </c>
      <c r="F119" s="154" t="s">
        <v>623</v>
      </c>
      <c r="G119" s="154" t="s">
        <v>662</v>
      </c>
      <c r="H119" s="164">
        <v>80000</v>
      </c>
      <c r="I119" s="116">
        <f>H119*2.87%</f>
        <v>2296</v>
      </c>
      <c r="J119" s="118">
        <f>+H119*3.04%</f>
        <v>2432</v>
      </c>
      <c r="K119" s="118">
        <v>0</v>
      </c>
      <c r="L119" s="118">
        <f>+J119+I119+K119</f>
        <v>4728</v>
      </c>
      <c r="M119" s="116">
        <f>+H119-L119</f>
        <v>75272</v>
      </c>
      <c r="N119" s="116">
        <f>+IF(M119*12&lt;=416220.01,0,IF(M119*12&lt;=624329.01,(((M119*12-416220.01)*0.15)/12),IF((M119*12&lt;=867123.01),(31216+0.2*(M119*12-624329.01))/12,((79776+0.25*(M119*12-867123.01))/12))))</f>
        <v>7400.9372916666662</v>
      </c>
      <c r="O119" s="116"/>
      <c r="P119" s="116">
        <v>225</v>
      </c>
      <c r="Q119" s="116">
        <f>+P119+N119+L119</f>
        <v>12353.937291666665</v>
      </c>
      <c r="R119" s="159">
        <f>+H119-Q119</f>
        <v>67646.062708333338</v>
      </c>
    </row>
    <row r="120" spans="1:19" s="111" customFormat="1" ht="39.950000000000003" customHeight="1" thickBot="1" x14ac:dyDescent="0.25">
      <c r="A120" s="366" t="s">
        <v>99</v>
      </c>
      <c r="B120" s="367"/>
      <c r="C120" s="100"/>
      <c r="D120" s="100"/>
      <c r="E120" s="100"/>
      <c r="F120" s="323"/>
      <c r="G120" s="323"/>
      <c r="H120" s="101">
        <f>SUM(H118:H119)</f>
        <v>235000</v>
      </c>
      <c r="I120" s="101">
        <f t="shared" ref="I120:Q120" si="55">SUM(I118:I119)</f>
        <v>6744.5</v>
      </c>
      <c r="J120" s="101">
        <f t="shared" si="55"/>
        <v>7144</v>
      </c>
      <c r="K120" s="101">
        <f t="shared" si="55"/>
        <v>1919.78</v>
      </c>
      <c r="L120" s="101">
        <f t="shared" si="55"/>
        <v>15808.28</v>
      </c>
      <c r="M120" s="101">
        <f t="shared" si="55"/>
        <v>219191.72</v>
      </c>
      <c r="N120" s="101">
        <f t="shared" si="55"/>
        <v>31963.804583333334</v>
      </c>
      <c r="O120" s="101">
        <f t="shared" si="55"/>
        <v>0</v>
      </c>
      <c r="P120" s="101">
        <f t="shared" si="55"/>
        <v>10482.290000000001</v>
      </c>
      <c r="Q120" s="101">
        <f t="shared" si="55"/>
        <v>58254.374583333338</v>
      </c>
      <c r="R120" s="101">
        <f>SUM(R118:R119)</f>
        <v>176745.62541666668</v>
      </c>
      <c r="S120" s="344"/>
    </row>
    <row r="121" spans="1:19" s="111" customFormat="1" ht="39.950000000000003" customHeight="1" thickBot="1" x14ac:dyDescent="0.25">
      <c r="A121" s="171" t="s">
        <v>143</v>
      </c>
      <c r="B121" s="172"/>
      <c r="C121" s="172"/>
      <c r="D121" s="172"/>
      <c r="E121" s="172"/>
      <c r="F121" s="185"/>
      <c r="G121" s="327"/>
      <c r="H121" s="172"/>
      <c r="I121" s="172"/>
      <c r="J121" s="172"/>
      <c r="K121" s="172"/>
      <c r="L121" s="172"/>
      <c r="M121" s="172"/>
      <c r="N121" s="172"/>
      <c r="O121" s="172"/>
      <c r="P121" s="172"/>
      <c r="Q121" s="172"/>
      <c r="R121" s="172"/>
    </row>
    <row r="122" spans="1:19" s="111" customFormat="1" ht="39.950000000000003" customHeight="1" x14ac:dyDescent="0.2">
      <c r="A122" s="156">
        <f>+A119+1</f>
        <v>57</v>
      </c>
      <c r="B122" s="177" t="s">
        <v>446</v>
      </c>
      <c r="C122" s="132" t="s">
        <v>335</v>
      </c>
      <c r="D122" s="139" t="s">
        <v>575</v>
      </c>
      <c r="E122" s="174" t="s">
        <v>178</v>
      </c>
      <c r="F122" s="174" t="s">
        <v>603</v>
      </c>
      <c r="G122" s="174" t="s">
        <v>643</v>
      </c>
      <c r="H122" s="164">
        <v>80000</v>
      </c>
      <c r="I122" s="116">
        <f>H122*2.87%</f>
        <v>2296</v>
      </c>
      <c r="J122" s="116">
        <f>+H122*3.04%</f>
        <v>2432</v>
      </c>
      <c r="K122" s="116"/>
      <c r="L122" s="116">
        <f>+J122+I122+K122</f>
        <v>4728</v>
      </c>
      <c r="M122" s="116">
        <f>+H122-L122</f>
        <v>75272</v>
      </c>
      <c r="N122" s="116">
        <f>+IF(M122*12&lt;=416220.01,0,IF(M122*12&lt;=624329.01,(((M122*12-416220.01)*0.15)/12),IF((M122*12&lt;=867123.01),(31216+0.2*(M122*12-624329.01))/12,((79776+0.25*(M122*12-867123.01))/12))))-O122</f>
        <v>7400.9372916666662</v>
      </c>
      <c r="O122" s="116"/>
      <c r="P122" s="155">
        <v>2870.29</v>
      </c>
      <c r="Q122" s="116">
        <f>+P122+N122+L122</f>
        <v>14999.227291666666</v>
      </c>
      <c r="R122" s="159">
        <f>+H122-Q122</f>
        <v>65000.77270833333</v>
      </c>
    </row>
    <row r="123" spans="1:19" s="115" customFormat="1" ht="39.950000000000003" customHeight="1" thickBot="1" x14ac:dyDescent="0.25">
      <c r="A123" s="366" t="s">
        <v>99</v>
      </c>
      <c r="B123" s="367"/>
      <c r="C123" s="100"/>
      <c r="D123" s="100"/>
      <c r="E123" s="100"/>
      <c r="F123" s="323"/>
      <c r="G123" s="323"/>
      <c r="H123" s="101">
        <f t="shared" ref="H123:R123" si="56">SUM(H122:H122)</f>
        <v>80000</v>
      </c>
      <c r="I123" s="101">
        <f t="shared" si="56"/>
        <v>2296</v>
      </c>
      <c r="J123" s="101">
        <f t="shared" si="56"/>
        <v>2432</v>
      </c>
      <c r="K123" s="101">
        <f t="shared" si="56"/>
        <v>0</v>
      </c>
      <c r="L123" s="101">
        <f t="shared" si="56"/>
        <v>4728</v>
      </c>
      <c r="M123" s="101">
        <f t="shared" si="56"/>
        <v>75272</v>
      </c>
      <c r="N123" s="101">
        <f t="shared" si="56"/>
        <v>7400.9372916666662</v>
      </c>
      <c r="O123" s="101">
        <f t="shared" si="56"/>
        <v>0</v>
      </c>
      <c r="P123" s="101">
        <f t="shared" si="56"/>
        <v>2870.29</v>
      </c>
      <c r="Q123" s="101">
        <f t="shared" si="56"/>
        <v>14999.227291666666</v>
      </c>
      <c r="R123" s="101">
        <f t="shared" si="56"/>
        <v>65000.77270833333</v>
      </c>
      <c r="S123" s="344"/>
    </row>
    <row r="124" spans="1:19" s="169" customFormat="1" ht="39.950000000000003" customHeight="1" thickBot="1" x14ac:dyDescent="0.25">
      <c r="A124" s="171" t="s">
        <v>365</v>
      </c>
      <c r="B124" s="172"/>
      <c r="C124" s="172"/>
      <c r="D124" s="172"/>
      <c r="E124" s="172"/>
      <c r="F124" s="185"/>
      <c r="G124" s="185"/>
      <c r="H124" s="172"/>
      <c r="I124" s="172"/>
      <c r="J124" s="172"/>
      <c r="K124" s="172"/>
      <c r="L124" s="172"/>
      <c r="M124" s="172"/>
      <c r="N124" s="172"/>
      <c r="O124" s="172"/>
      <c r="P124" s="172"/>
      <c r="Q124" s="172"/>
      <c r="R124" s="172"/>
    </row>
    <row r="125" spans="1:19" s="114" customFormat="1" ht="39.950000000000003" customHeight="1" thickBot="1" x14ac:dyDescent="0.25">
      <c r="A125" s="171" t="s">
        <v>366</v>
      </c>
      <c r="B125" s="172"/>
      <c r="C125" s="172"/>
      <c r="D125" s="172"/>
      <c r="E125" s="172"/>
      <c r="F125" s="185"/>
      <c r="G125" s="185"/>
      <c r="H125" s="172"/>
      <c r="I125" s="172"/>
      <c r="J125" s="172"/>
      <c r="K125" s="172"/>
      <c r="L125" s="172"/>
      <c r="M125" s="172"/>
      <c r="N125" s="172"/>
      <c r="O125" s="172"/>
      <c r="P125" s="172"/>
      <c r="Q125" s="172"/>
      <c r="R125" s="172"/>
    </row>
    <row r="126" spans="1:19" s="114" customFormat="1" ht="39.950000000000003" customHeight="1" x14ac:dyDescent="0.2">
      <c r="A126" s="152">
        <f>+A122+1</f>
        <v>58</v>
      </c>
      <c r="B126" s="178" t="s">
        <v>378</v>
      </c>
      <c r="C126" s="130" t="s">
        <v>334</v>
      </c>
      <c r="D126" s="153" t="s">
        <v>390</v>
      </c>
      <c r="E126" s="153" t="s">
        <v>178</v>
      </c>
      <c r="F126" s="154" t="s">
        <v>623</v>
      </c>
      <c r="G126" s="154" t="s">
        <v>662</v>
      </c>
      <c r="H126" s="159">
        <v>190000</v>
      </c>
      <c r="I126" s="116">
        <f>H126*2.87%</f>
        <v>5453</v>
      </c>
      <c r="J126" s="116">
        <f>+H126*3.04%</f>
        <v>5776</v>
      </c>
      <c r="K126" s="116">
        <v>1919.78</v>
      </c>
      <c r="L126" s="116">
        <f>+J126+I126+K126</f>
        <v>13148.78</v>
      </c>
      <c r="M126" s="116">
        <f>+H126-L126</f>
        <v>176851.22</v>
      </c>
      <c r="N126" s="116">
        <f>+IF(M126*12&lt;=416220.01,0,IF(M126*12&lt;=624329.01,(((M126*12-416220.01)*0.15)/12),IF((M126*12&lt;=867123.01),(31216+0.2*(M126*12-624329.01))/12,((79776+0.25*(M126*12-867123.01))/12))))-O126</f>
        <v>32795.742291666669</v>
      </c>
      <c r="O126" s="116"/>
      <c r="P126" s="159">
        <v>25</v>
      </c>
      <c r="Q126" s="116">
        <f>+P126+N126+L126</f>
        <v>45969.522291666668</v>
      </c>
      <c r="R126" s="159">
        <f>+H126-Q126</f>
        <v>144030.47770833335</v>
      </c>
    </row>
    <row r="127" spans="1:19" s="114" customFormat="1" ht="39.950000000000003" customHeight="1" x14ac:dyDescent="0.2">
      <c r="A127" s="156">
        <f>+A126+1</f>
        <v>59</v>
      </c>
      <c r="B127" s="283" t="s">
        <v>527</v>
      </c>
      <c r="C127" s="132" t="s">
        <v>335</v>
      </c>
      <c r="D127" s="174" t="s">
        <v>528</v>
      </c>
      <c r="E127" s="174" t="s">
        <v>178</v>
      </c>
      <c r="F127" s="174" t="s">
        <v>604</v>
      </c>
      <c r="G127" s="174" t="s">
        <v>633</v>
      </c>
      <c r="H127" s="155">
        <v>140000</v>
      </c>
      <c r="I127" s="116">
        <f>H127*2.87%</f>
        <v>4018</v>
      </c>
      <c r="J127" s="116">
        <f>+H127*3.04%</f>
        <v>4256</v>
      </c>
      <c r="K127" s="116">
        <v>1919.78</v>
      </c>
      <c r="L127" s="116">
        <f>+J127+I127+K127</f>
        <v>10193.780000000001</v>
      </c>
      <c r="M127" s="116">
        <f>+H127-L127</f>
        <v>129806.22</v>
      </c>
      <c r="N127" s="116">
        <f t="shared" ref="N127:N128" si="57">+IF(M127*12&lt;=416220.01,0,IF(M127*12&lt;=624329.01,(((M127*12-416220.01)*0.15)/12),IF((M127*12&lt;=867123.01),(31216+0.2*(M127*12-624329.01))/12,((79776+0.25*(M127*12-867123.01))/12))))-O127</f>
        <v>21034.492291666669</v>
      </c>
      <c r="O127" s="116"/>
      <c r="P127" s="159">
        <v>105</v>
      </c>
      <c r="Q127" s="118">
        <f>+P127+N127+L127</f>
        <v>31333.272291666668</v>
      </c>
      <c r="R127" s="159">
        <f>+H127-Q127</f>
        <v>108666.72770833333</v>
      </c>
    </row>
    <row r="128" spans="1:19" s="114" customFormat="1" ht="39.950000000000003" customHeight="1" x14ac:dyDescent="0.2">
      <c r="A128" s="152">
        <f>+A127+1</f>
        <v>60</v>
      </c>
      <c r="B128" s="116" t="s">
        <v>170</v>
      </c>
      <c r="C128" s="130" t="s">
        <v>335</v>
      </c>
      <c r="D128" s="153" t="s">
        <v>575</v>
      </c>
      <c r="E128" s="153" t="s">
        <v>178</v>
      </c>
      <c r="F128" s="174" t="s">
        <v>604</v>
      </c>
      <c r="G128" s="174" t="s">
        <v>633</v>
      </c>
      <c r="H128" s="159">
        <v>80000</v>
      </c>
      <c r="I128" s="116">
        <f>H128*2.87%</f>
        <v>2296</v>
      </c>
      <c r="J128" s="116">
        <f>+H128*3.04%</f>
        <v>2432</v>
      </c>
      <c r="K128" s="116">
        <v>1919.78</v>
      </c>
      <c r="L128" s="116">
        <f>+J128+I128+K128</f>
        <v>6647.78</v>
      </c>
      <c r="M128" s="116">
        <f>+H128-L128</f>
        <v>73352.22</v>
      </c>
      <c r="N128" s="116">
        <f t="shared" si="57"/>
        <v>6920.9922916666665</v>
      </c>
      <c r="O128" s="116"/>
      <c r="P128" s="159">
        <v>4958.6400000000003</v>
      </c>
      <c r="Q128" s="116">
        <f>+P128+K128+J128+I128+N128</f>
        <v>18527.412291666667</v>
      </c>
      <c r="R128" s="159">
        <f>+H128-Q128</f>
        <v>61472.587708333333</v>
      </c>
    </row>
    <row r="129" spans="1:19" s="114" customFormat="1" ht="39.950000000000003" customHeight="1" x14ac:dyDescent="0.2">
      <c r="A129" s="366" t="s">
        <v>99</v>
      </c>
      <c r="B129" s="367"/>
      <c r="C129" s="100"/>
      <c r="D129" s="100"/>
      <c r="E129" s="100"/>
      <c r="F129" s="323"/>
      <c r="G129" s="323"/>
      <c r="H129" s="101">
        <f t="shared" ref="H129:R129" si="58">SUM(H126:H128)</f>
        <v>410000</v>
      </c>
      <c r="I129" s="101">
        <f t="shared" si="58"/>
        <v>11767</v>
      </c>
      <c r="J129" s="101">
        <f t="shared" si="58"/>
        <v>12464</v>
      </c>
      <c r="K129" s="101">
        <f t="shared" si="58"/>
        <v>5759.34</v>
      </c>
      <c r="L129" s="101">
        <f t="shared" si="58"/>
        <v>29990.34</v>
      </c>
      <c r="M129" s="101">
        <f t="shared" si="58"/>
        <v>380009.66000000003</v>
      </c>
      <c r="N129" s="101">
        <f t="shared" si="58"/>
        <v>60751.226875000008</v>
      </c>
      <c r="O129" s="101">
        <f t="shared" si="58"/>
        <v>0</v>
      </c>
      <c r="P129" s="101">
        <f t="shared" si="58"/>
        <v>5088.6400000000003</v>
      </c>
      <c r="Q129" s="101">
        <f t="shared" si="58"/>
        <v>95830.206875000003</v>
      </c>
      <c r="R129" s="101">
        <f t="shared" si="58"/>
        <v>314169.79312500003</v>
      </c>
      <c r="S129" s="345"/>
    </row>
    <row r="130" spans="1:19" s="114" customFormat="1" ht="39.950000000000003" customHeight="1" x14ac:dyDescent="0.2">
      <c r="A130" s="168"/>
      <c r="B130" s="168"/>
      <c r="C130" s="168"/>
      <c r="D130" s="168"/>
      <c r="E130" s="168"/>
      <c r="F130" s="173"/>
      <c r="G130" s="173"/>
    </row>
    <row r="131" spans="1:19" s="114" customFormat="1" ht="39.950000000000003" customHeight="1" thickBot="1" x14ac:dyDescent="0.25">
      <c r="A131" s="168"/>
      <c r="B131" s="168"/>
      <c r="C131" s="168"/>
      <c r="D131" s="168"/>
      <c r="E131" s="168"/>
      <c r="F131" s="173"/>
      <c r="G131" s="173"/>
    </row>
    <row r="132" spans="1:19" s="114" customFormat="1" ht="39.950000000000003" customHeight="1" thickBot="1" x14ac:dyDescent="0.25">
      <c r="A132" s="171" t="s">
        <v>303</v>
      </c>
      <c r="B132" s="172"/>
      <c r="C132" s="172"/>
      <c r="D132" s="172"/>
      <c r="E132" s="172"/>
      <c r="F132" s="185"/>
      <c r="G132" s="185"/>
      <c r="H132" s="172"/>
      <c r="I132" s="172"/>
      <c r="J132" s="172"/>
      <c r="K132" s="172"/>
      <c r="L132" s="172"/>
      <c r="M132" s="172"/>
      <c r="N132" s="172"/>
      <c r="O132" s="172"/>
      <c r="P132" s="172"/>
      <c r="Q132" s="172"/>
      <c r="R132" s="172"/>
    </row>
    <row r="133" spans="1:19" s="114" customFormat="1" ht="39.950000000000003" customHeight="1" x14ac:dyDescent="0.2">
      <c r="A133" s="152">
        <f>+A128+1</f>
        <v>61</v>
      </c>
      <c r="B133" s="116" t="s">
        <v>580</v>
      </c>
      <c r="C133" s="130" t="s">
        <v>335</v>
      </c>
      <c r="D133" s="153" t="s">
        <v>105</v>
      </c>
      <c r="E133" s="153" t="s">
        <v>178</v>
      </c>
      <c r="F133" s="320" t="s">
        <v>617</v>
      </c>
      <c r="G133" s="320" t="s">
        <v>658</v>
      </c>
      <c r="H133" s="159">
        <v>50000</v>
      </c>
      <c r="I133" s="118">
        <f>H133*2.87%</f>
        <v>1435</v>
      </c>
      <c r="J133" s="118">
        <f>+H133*3.04%</f>
        <v>1520</v>
      </c>
      <c r="K133" s="118"/>
      <c r="L133" s="116">
        <f>+J133+I133+K133</f>
        <v>2955</v>
      </c>
      <c r="M133" s="116">
        <f>+H133-L133</f>
        <v>47045</v>
      </c>
      <c r="N133" s="116">
        <v>0</v>
      </c>
      <c r="O133" s="116"/>
      <c r="P133" s="155">
        <v>2290.29</v>
      </c>
      <c r="Q133" s="116">
        <f>+P133+N133+L133</f>
        <v>5245.29</v>
      </c>
      <c r="R133" s="155">
        <f>+H133-Q133</f>
        <v>44754.71</v>
      </c>
    </row>
    <row r="134" spans="1:19" s="111" customFormat="1" ht="39.950000000000003" customHeight="1" x14ac:dyDescent="0.2">
      <c r="A134" s="366" t="s">
        <v>99</v>
      </c>
      <c r="B134" s="367"/>
      <c r="C134" s="100"/>
      <c r="D134" s="100"/>
      <c r="E134" s="100"/>
      <c r="F134" s="323"/>
      <c r="G134" s="323"/>
      <c r="H134" s="101">
        <f t="shared" ref="H134:R134" si="59">SUM(H133:H133)</f>
        <v>50000</v>
      </c>
      <c r="I134" s="101">
        <f t="shared" si="59"/>
        <v>1435</v>
      </c>
      <c r="J134" s="101">
        <f t="shared" si="59"/>
        <v>1520</v>
      </c>
      <c r="K134" s="101">
        <f t="shared" si="59"/>
        <v>0</v>
      </c>
      <c r="L134" s="101">
        <f t="shared" si="59"/>
        <v>2955</v>
      </c>
      <c r="M134" s="101">
        <f t="shared" si="59"/>
        <v>47045</v>
      </c>
      <c r="N134" s="101">
        <f t="shared" si="59"/>
        <v>0</v>
      </c>
      <c r="O134" s="101">
        <f t="shared" si="59"/>
        <v>0</v>
      </c>
      <c r="P134" s="101">
        <f t="shared" si="59"/>
        <v>2290.29</v>
      </c>
      <c r="Q134" s="101">
        <f t="shared" si="59"/>
        <v>5245.29</v>
      </c>
      <c r="R134" s="101">
        <f t="shared" si="59"/>
        <v>44754.71</v>
      </c>
      <c r="S134" s="344"/>
    </row>
    <row r="135" spans="1:19" s="111" customFormat="1" ht="39.950000000000003" customHeight="1" thickBot="1" x14ac:dyDescent="0.25">
      <c r="A135" s="168"/>
      <c r="B135" s="168"/>
      <c r="C135" s="168"/>
      <c r="D135" s="168"/>
      <c r="E135" s="168"/>
      <c r="F135" s="173"/>
      <c r="G135" s="173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</row>
    <row r="136" spans="1:19" s="114" customFormat="1" ht="39.950000000000003" customHeight="1" thickBot="1" x14ac:dyDescent="0.25">
      <c r="A136" s="171" t="s">
        <v>303</v>
      </c>
      <c r="B136" s="172"/>
      <c r="C136" s="172"/>
      <c r="D136" s="172"/>
      <c r="E136" s="172"/>
      <c r="F136" s="185"/>
      <c r="G136" s="185"/>
      <c r="H136" s="172"/>
      <c r="I136" s="172"/>
      <c r="J136" s="172"/>
      <c r="K136" s="172"/>
      <c r="L136" s="172"/>
      <c r="M136" s="172"/>
      <c r="N136" s="172"/>
      <c r="O136" s="172"/>
      <c r="P136" s="172"/>
      <c r="Q136" s="172"/>
      <c r="R136" s="172"/>
    </row>
    <row r="137" spans="1:19" s="114" customFormat="1" ht="39.950000000000003" customHeight="1" x14ac:dyDescent="0.2">
      <c r="A137" s="152">
        <f>+A133+1</f>
        <v>62</v>
      </c>
      <c r="B137" s="116" t="s">
        <v>651</v>
      </c>
      <c r="C137" s="130" t="s">
        <v>335</v>
      </c>
      <c r="D137" s="153" t="s">
        <v>652</v>
      </c>
      <c r="E137" s="153" t="s">
        <v>178</v>
      </c>
      <c r="F137" s="174" t="s">
        <v>624</v>
      </c>
      <c r="G137" s="174" t="s">
        <v>656</v>
      </c>
      <c r="H137" s="159">
        <v>145000</v>
      </c>
      <c r="I137" s="118">
        <f>H137*2.87%</f>
        <v>4161.5</v>
      </c>
      <c r="J137" s="118">
        <f>+H137*3.04%</f>
        <v>4408</v>
      </c>
      <c r="K137" s="118"/>
      <c r="L137" s="116">
        <f>+J137+I137+K137</f>
        <v>8569.5</v>
      </c>
      <c r="M137" s="116">
        <f>+H137-L137</f>
        <v>136430.5</v>
      </c>
      <c r="N137" s="116">
        <v>22689.56</v>
      </c>
      <c r="O137" s="116"/>
      <c r="P137" s="155">
        <v>25</v>
      </c>
      <c r="Q137" s="116">
        <f>+P137+N137+L137</f>
        <v>31284.06</v>
      </c>
      <c r="R137" s="155">
        <f>+H137-Q137</f>
        <v>113715.94</v>
      </c>
    </row>
    <row r="138" spans="1:19" s="114" customFormat="1" ht="39.950000000000003" customHeight="1" x14ac:dyDescent="0.2">
      <c r="A138" s="152">
        <f>+A137+1</f>
        <v>63</v>
      </c>
      <c r="B138" s="116" t="s">
        <v>394</v>
      </c>
      <c r="C138" s="130" t="s">
        <v>335</v>
      </c>
      <c r="D138" s="153" t="s">
        <v>608</v>
      </c>
      <c r="E138" s="153" t="s">
        <v>178</v>
      </c>
      <c r="F138" s="174" t="s">
        <v>603</v>
      </c>
      <c r="G138" s="174" t="s">
        <v>643</v>
      </c>
      <c r="H138" s="159">
        <v>80000</v>
      </c>
      <c r="I138" s="118">
        <f>H138*2.87%</f>
        <v>2296</v>
      </c>
      <c r="J138" s="118">
        <f>+H138*3.04%</f>
        <v>2432</v>
      </c>
      <c r="K138" s="118"/>
      <c r="L138" s="116">
        <f>+J138+I138+K138</f>
        <v>4728</v>
      </c>
      <c r="M138" s="116">
        <f>+H138-L138</f>
        <v>75272</v>
      </c>
      <c r="N138" s="116">
        <f>+IF(M138*12&lt;=416220.01,0,IF(M138*12&lt;=624329.01,(((M138*12-416220.01)*0.15)/12),IF((M138*12&lt;=867123.01),(31216+0.2*(M138*12-624329.01))/12,((79776+0.25*(M138*12-867123.01))/12))))-O138</f>
        <v>7400.9372916666662</v>
      </c>
      <c r="O138" s="116"/>
      <c r="P138" s="155">
        <v>225</v>
      </c>
      <c r="Q138" s="116">
        <f>+P138+N138+L138</f>
        <v>12353.937291666665</v>
      </c>
      <c r="R138" s="155">
        <f>+H138-Q138</f>
        <v>67646.062708333338</v>
      </c>
    </row>
    <row r="139" spans="1:19" s="114" customFormat="1" ht="39.950000000000003" customHeight="1" x14ac:dyDescent="0.2">
      <c r="A139" s="152">
        <f>+A138+1</f>
        <v>64</v>
      </c>
      <c r="B139" s="116" t="s">
        <v>471</v>
      </c>
      <c r="C139" s="130" t="s">
        <v>335</v>
      </c>
      <c r="D139" s="153" t="s">
        <v>608</v>
      </c>
      <c r="E139" s="153" t="s">
        <v>178</v>
      </c>
      <c r="F139" s="174" t="s">
        <v>624</v>
      </c>
      <c r="G139" s="174" t="s">
        <v>656</v>
      </c>
      <c r="H139" s="159">
        <v>80000</v>
      </c>
      <c r="I139" s="118">
        <f>H139*2.87%</f>
        <v>2296</v>
      </c>
      <c r="J139" s="118">
        <f>+H139*3.04%</f>
        <v>2432</v>
      </c>
      <c r="K139" s="118">
        <v>1919.78</v>
      </c>
      <c r="L139" s="116">
        <f>+J139+I139+K139</f>
        <v>6647.78</v>
      </c>
      <c r="M139" s="116">
        <f>+H139-L139</f>
        <v>73352.22</v>
      </c>
      <c r="N139" s="116">
        <f>+IF(M139*12&lt;=416220.01,0,IF(M139*12&lt;=624329.01,(((M139*12-416220.01)*0.15)/12),IF((M139*12&lt;=867123.01),(31216+0.2*(M139*12-624329.01))/12,((79776+0.25*(M139*12-867123.01))/12))))-O139</f>
        <v>6920.9922916666665</v>
      </c>
      <c r="O139" s="116"/>
      <c r="P139" s="155">
        <v>25</v>
      </c>
      <c r="Q139" s="116">
        <f>+P139+N139+L139</f>
        <v>13593.772291666666</v>
      </c>
      <c r="R139" s="155">
        <f>+H139-Q139</f>
        <v>66406.227708333332</v>
      </c>
    </row>
    <row r="140" spans="1:19" s="111" customFormat="1" ht="39.950000000000003" customHeight="1" x14ac:dyDescent="0.2">
      <c r="A140" s="366" t="s">
        <v>99</v>
      </c>
      <c r="B140" s="367"/>
      <c r="C140" s="100"/>
      <c r="D140" s="100"/>
      <c r="E140" s="100"/>
      <c r="F140" s="323"/>
      <c r="G140" s="323"/>
      <c r="H140" s="101">
        <f t="shared" ref="H140:N140" si="60">SUM(H137:H139)</f>
        <v>305000</v>
      </c>
      <c r="I140" s="101">
        <f t="shared" si="60"/>
        <v>8753.5</v>
      </c>
      <c r="J140" s="101">
        <f t="shared" si="60"/>
        <v>9272</v>
      </c>
      <c r="K140" s="101">
        <f t="shared" si="60"/>
        <v>1919.78</v>
      </c>
      <c r="L140" s="101">
        <f t="shared" si="60"/>
        <v>19945.28</v>
      </c>
      <c r="M140" s="101">
        <f t="shared" si="60"/>
        <v>285054.71999999997</v>
      </c>
      <c r="N140" s="101">
        <f t="shared" si="60"/>
        <v>37011.489583333336</v>
      </c>
      <c r="O140" s="101">
        <f t="shared" ref="O140" si="61">SUM(O138:O139)</f>
        <v>0</v>
      </c>
      <c r="P140" s="101">
        <f>SUM(P137:P139)</f>
        <v>275</v>
      </c>
      <c r="Q140" s="101">
        <f>SUM(Q137:Q139)</f>
        <v>57231.769583333335</v>
      </c>
      <c r="R140" s="101">
        <f>SUM(R137:R139)</f>
        <v>247768.23041666666</v>
      </c>
      <c r="S140" s="344"/>
    </row>
    <row r="141" spans="1:19" s="115" customFormat="1" ht="39.950000000000003" customHeight="1" thickBot="1" x14ac:dyDescent="0.25">
      <c r="A141" s="173"/>
      <c r="B141" s="173"/>
      <c r="C141" s="173"/>
      <c r="D141" s="173"/>
      <c r="E141" s="173"/>
      <c r="F141" s="173"/>
      <c r="G141" s="173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</row>
    <row r="142" spans="1:19" s="115" customFormat="1" ht="39.950000000000003" customHeight="1" x14ac:dyDescent="0.2">
      <c r="A142" s="179" t="s">
        <v>386</v>
      </c>
      <c r="B142" s="180"/>
      <c r="C142" s="180"/>
      <c r="D142" s="180"/>
      <c r="E142" s="180"/>
      <c r="F142" s="328"/>
      <c r="G142" s="328"/>
      <c r="H142" s="180"/>
      <c r="I142" s="180"/>
      <c r="J142" s="180"/>
      <c r="K142" s="180"/>
      <c r="L142" s="180"/>
      <c r="M142" s="180"/>
      <c r="N142" s="180"/>
      <c r="O142" s="180"/>
      <c r="P142" s="180"/>
      <c r="Q142" s="180"/>
      <c r="R142" s="180"/>
    </row>
    <row r="143" spans="1:19" s="115" customFormat="1" ht="39.950000000000003" customHeight="1" x14ac:dyDescent="0.2">
      <c r="A143" s="108">
        <f>+A139+1</f>
        <v>65</v>
      </c>
      <c r="B143" s="109" t="s">
        <v>393</v>
      </c>
      <c r="C143" s="103" t="s">
        <v>335</v>
      </c>
      <c r="D143" s="104" t="s">
        <v>71</v>
      </c>
      <c r="E143" s="102" t="s">
        <v>178</v>
      </c>
      <c r="F143" s="102" t="s">
        <v>603</v>
      </c>
      <c r="G143" s="102" t="s">
        <v>643</v>
      </c>
      <c r="H143" s="105">
        <v>100000</v>
      </c>
      <c r="I143" s="97">
        <f>H143*2.87%</f>
        <v>2870</v>
      </c>
      <c r="J143" s="97">
        <f>+H143*3.04%</f>
        <v>3040</v>
      </c>
      <c r="K143" s="97">
        <f>1919.78*2</f>
        <v>3839.56</v>
      </c>
      <c r="L143" s="105">
        <f>+J143+I143+K143</f>
        <v>9749.56</v>
      </c>
      <c r="M143" s="105">
        <f>+H143-L143</f>
        <v>90250.44</v>
      </c>
      <c r="N143" s="116">
        <f>+IF(M143*12&lt;=416220.01,0,IF(M143*12&lt;=624329.01,(((M143*12-416220.01)*0.15)/12),IF((M143*12&lt;=867123.01),(31216+0.2*(M143*12-624329.01))/12,((79776+0.25*(M143*12-867123.01))/12))))-O143</f>
        <v>11145.547291666668</v>
      </c>
      <c r="O143" s="105"/>
      <c r="P143" s="117">
        <v>3240.18</v>
      </c>
      <c r="Q143" s="105">
        <f>+P143+N143+L143</f>
        <v>24135.287291666667</v>
      </c>
      <c r="R143" s="162">
        <f>+H143-Q143</f>
        <v>75864.712708333333</v>
      </c>
    </row>
    <row r="144" spans="1:19" s="115" customFormat="1" ht="39.950000000000003" customHeight="1" x14ac:dyDescent="0.2">
      <c r="A144" s="108">
        <f>+A143+1</f>
        <v>66</v>
      </c>
      <c r="B144" s="109" t="s">
        <v>472</v>
      </c>
      <c r="C144" s="103" t="s">
        <v>335</v>
      </c>
      <c r="D144" s="104" t="s">
        <v>550</v>
      </c>
      <c r="E144" s="102" t="s">
        <v>178</v>
      </c>
      <c r="F144" s="174" t="s">
        <v>624</v>
      </c>
      <c r="G144" s="174" t="s">
        <v>656</v>
      </c>
      <c r="H144" s="105">
        <v>90000</v>
      </c>
      <c r="I144" s="97">
        <f>H144*2.87%</f>
        <v>2583</v>
      </c>
      <c r="J144" s="97">
        <f>+H144*3.04%</f>
        <v>2736</v>
      </c>
      <c r="K144" s="97"/>
      <c r="L144" s="105">
        <f>+J144+I144+K144</f>
        <v>5319</v>
      </c>
      <c r="M144" s="105">
        <f>+H144-L144</f>
        <v>84681</v>
      </c>
      <c r="N144" s="116">
        <f>+IF(M144*12&lt;=416220.01,0,IF(M144*12&lt;=624329.01,(((M144*12-416220.01)*0.15)/12),IF((M144*12&lt;=867123.01),(31216+0.2*(M144*12-624329.01))/12,((79776+0.25*(M144*12-867123.01))/12))))-O144</f>
        <v>9753.1872916666671</v>
      </c>
      <c r="O144" s="105"/>
      <c r="P144" s="162">
        <v>25</v>
      </c>
      <c r="Q144" s="105">
        <f>+P144+N144+L144</f>
        <v>15097.187291666667</v>
      </c>
      <c r="R144" s="162">
        <f>+H144-Q144</f>
        <v>74902.812708333338</v>
      </c>
    </row>
    <row r="145" spans="1:19" s="115" customFormat="1" ht="39.950000000000003" customHeight="1" thickBot="1" x14ac:dyDescent="0.25">
      <c r="A145" s="366" t="s">
        <v>99</v>
      </c>
      <c r="B145" s="367"/>
      <c r="C145" s="100"/>
      <c r="D145" s="100"/>
      <c r="E145" s="100"/>
      <c r="F145" s="323"/>
      <c r="G145" s="323"/>
      <c r="H145" s="101">
        <f>SUM(H143:H144)</f>
        <v>190000</v>
      </c>
      <c r="I145" s="101">
        <f t="shared" ref="I145:R145" si="62">SUM(I143:I144)</f>
        <v>5453</v>
      </c>
      <c r="J145" s="101">
        <f t="shared" si="62"/>
        <v>5776</v>
      </c>
      <c r="K145" s="101">
        <f t="shared" si="62"/>
        <v>3839.56</v>
      </c>
      <c r="L145" s="101">
        <f t="shared" si="62"/>
        <v>15068.56</v>
      </c>
      <c r="M145" s="101">
        <f t="shared" si="62"/>
        <v>174931.44</v>
      </c>
      <c r="N145" s="101">
        <f t="shared" si="62"/>
        <v>20898.734583333335</v>
      </c>
      <c r="O145" s="101">
        <f t="shared" si="62"/>
        <v>0</v>
      </c>
      <c r="P145" s="101">
        <f t="shared" si="62"/>
        <v>3265.18</v>
      </c>
      <c r="Q145" s="101">
        <f t="shared" si="62"/>
        <v>39232.474583333336</v>
      </c>
      <c r="R145" s="101">
        <f t="shared" si="62"/>
        <v>150767.52541666667</v>
      </c>
      <c r="S145" s="344"/>
    </row>
    <row r="146" spans="1:19" s="111" customFormat="1" ht="39.950000000000003" customHeight="1" x14ac:dyDescent="0.2">
      <c r="A146" s="179" t="s">
        <v>529</v>
      </c>
      <c r="B146" s="180"/>
      <c r="C146" s="180"/>
      <c r="D146" s="180"/>
      <c r="E146" s="180"/>
      <c r="F146" s="328"/>
      <c r="G146" s="329"/>
      <c r="H146" s="180"/>
      <c r="I146" s="180"/>
      <c r="J146" s="180"/>
      <c r="K146" s="180"/>
      <c r="L146" s="180"/>
      <c r="M146" s="180"/>
      <c r="N146" s="180"/>
      <c r="O146" s="180"/>
      <c r="P146" s="180"/>
      <c r="Q146" s="180"/>
      <c r="R146" s="180"/>
    </row>
    <row r="147" spans="1:19" s="111" customFormat="1" ht="39.950000000000003" customHeight="1" x14ac:dyDescent="0.2">
      <c r="A147" s="108">
        <f>+A144+1</f>
        <v>67</v>
      </c>
      <c r="B147" s="140" t="s">
        <v>397</v>
      </c>
      <c r="C147" s="108" t="s">
        <v>334</v>
      </c>
      <c r="D147" s="142" t="s">
        <v>367</v>
      </c>
      <c r="E147" s="107" t="s">
        <v>178</v>
      </c>
      <c r="F147" s="102" t="s">
        <v>614</v>
      </c>
      <c r="G147" s="102" t="s">
        <v>645</v>
      </c>
      <c r="H147" s="164">
        <v>80000</v>
      </c>
      <c r="I147" s="105">
        <f>H147*2.87%</f>
        <v>2296</v>
      </c>
      <c r="J147" s="105">
        <f>+H147*3.04%</f>
        <v>2432</v>
      </c>
      <c r="K147" s="105"/>
      <c r="L147" s="105">
        <f>+J147+I147+K147</f>
        <v>4728</v>
      </c>
      <c r="M147" s="105">
        <f>+H147-L147</f>
        <v>75272</v>
      </c>
      <c r="N147" s="105">
        <f>+IF(M147*12&lt;=416220.01,0,IF(M147*12&lt;=624329.01,(((M147*12-416220.01)*0.15)/12),IF((M147*12&lt;=867123.01),(31216+0.2*(M147*12-624329.01))/12,((79776+0.25*(M147*12-867123.01))/12))))-O147</f>
        <v>7400.9372916666662</v>
      </c>
      <c r="O147" s="105"/>
      <c r="P147" s="117">
        <v>225</v>
      </c>
      <c r="Q147" s="97">
        <f>+P147+N147+L147</f>
        <v>12353.937291666665</v>
      </c>
      <c r="R147" s="162">
        <f>H147-Q147</f>
        <v>67646.062708333338</v>
      </c>
    </row>
    <row r="148" spans="1:19" s="111" customFormat="1" ht="39.950000000000003" customHeight="1" x14ac:dyDescent="0.2">
      <c r="A148" s="108">
        <f>+A147+1</f>
        <v>68</v>
      </c>
      <c r="B148" s="140" t="s">
        <v>533</v>
      </c>
      <c r="C148" s="108" t="s">
        <v>334</v>
      </c>
      <c r="D148" s="142" t="s">
        <v>367</v>
      </c>
      <c r="E148" s="153" t="s">
        <v>178</v>
      </c>
      <c r="F148" s="102" t="s">
        <v>603</v>
      </c>
      <c r="G148" s="102" t="s">
        <v>643</v>
      </c>
      <c r="H148" s="164">
        <v>80000</v>
      </c>
      <c r="I148" s="105">
        <f>H148*2.87%</f>
        <v>2296</v>
      </c>
      <c r="J148" s="105">
        <f>+H148*3.04%</f>
        <v>2432</v>
      </c>
      <c r="K148" s="105">
        <v>1919.78</v>
      </c>
      <c r="L148" s="116">
        <f>+J148+I148+K148</f>
        <v>6647.78</v>
      </c>
      <c r="M148" s="116">
        <f>+H148-L148</f>
        <v>73352.22</v>
      </c>
      <c r="N148" s="105">
        <f>+IF(M148*12&lt;=416220.01,0,IF(M148*12&lt;=624329.01,(((M148*12-416220.01)*0.15)/12),IF((M148*12&lt;=867123.01),(31216+0.2*(M148*12-624329.01))/12,((79776+0.25*(M148*12-867123.01))/12))))-O148</f>
        <v>6920.9922916666665</v>
      </c>
      <c r="O148" s="116"/>
      <c r="P148" s="159">
        <v>5334.43</v>
      </c>
      <c r="Q148" s="97">
        <f>+P148+N148+L148</f>
        <v>18903.202291666665</v>
      </c>
      <c r="R148" s="155">
        <f>H148-Q148</f>
        <v>61096.797708333339</v>
      </c>
    </row>
    <row r="149" spans="1:19" s="115" customFormat="1" ht="39.950000000000003" customHeight="1" x14ac:dyDescent="0.2">
      <c r="A149" s="366" t="s">
        <v>99</v>
      </c>
      <c r="B149" s="367"/>
      <c r="C149" s="100"/>
      <c r="D149" s="100"/>
      <c r="E149" s="100"/>
      <c r="F149" s="323"/>
      <c r="G149" s="323"/>
      <c r="H149" s="101">
        <f t="shared" ref="H149:R149" si="63">SUM(H147:H148)</f>
        <v>160000</v>
      </c>
      <c r="I149" s="101">
        <f t="shared" si="63"/>
        <v>4592</v>
      </c>
      <c r="J149" s="101">
        <f t="shared" si="63"/>
        <v>4864</v>
      </c>
      <c r="K149" s="101">
        <f t="shared" si="63"/>
        <v>1919.78</v>
      </c>
      <c r="L149" s="101">
        <f t="shared" si="63"/>
        <v>11375.779999999999</v>
      </c>
      <c r="M149" s="101">
        <f t="shared" si="63"/>
        <v>148624.22</v>
      </c>
      <c r="N149" s="101">
        <f t="shared" si="63"/>
        <v>14321.929583333333</v>
      </c>
      <c r="O149" s="101">
        <f t="shared" si="63"/>
        <v>0</v>
      </c>
      <c r="P149" s="101">
        <f t="shared" si="63"/>
        <v>5559.43</v>
      </c>
      <c r="Q149" s="101">
        <f t="shared" si="63"/>
        <v>31257.13958333333</v>
      </c>
      <c r="R149" s="101">
        <f t="shared" si="63"/>
        <v>128742.86041666668</v>
      </c>
      <c r="S149" s="344"/>
    </row>
    <row r="150" spans="1:19" s="181" customFormat="1" ht="39.950000000000003" customHeight="1" thickBot="1" x14ac:dyDescent="0.25">
      <c r="A150" s="168"/>
      <c r="B150" s="168"/>
      <c r="C150" s="168"/>
      <c r="D150" s="168"/>
      <c r="E150" s="168"/>
      <c r="F150" s="173"/>
      <c r="G150" s="173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</row>
    <row r="151" spans="1:19" s="181" customFormat="1" ht="39.950000000000003" customHeight="1" thickBot="1" x14ac:dyDescent="0.25">
      <c r="A151" s="171" t="s">
        <v>247</v>
      </c>
      <c r="B151" s="172"/>
      <c r="C151" s="172"/>
      <c r="D151" s="172"/>
      <c r="E151" s="172"/>
      <c r="F151" s="185"/>
      <c r="G151" s="185"/>
      <c r="H151" s="172"/>
      <c r="I151" s="172"/>
      <c r="J151" s="172"/>
      <c r="K151" s="172"/>
      <c r="L151" s="172"/>
      <c r="M151" s="172"/>
      <c r="N151" s="172"/>
      <c r="O151" s="172"/>
      <c r="P151" s="172"/>
      <c r="Q151" s="172"/>
      <c r="R151" s="172"/>
    </row>
    <row r="152" spans="1:19" s="181" customFormat="1" ht="39.950000000000003" customHeight="1" x14ac:dyDescent="0.2">
      <c r="A152" s="156">
        <f>+A148+1</f>
        <v>69</v>
      </c>
      <c r="B152" s="163" t="s">
        <v>104</v>
      </c>
      <c r="C152" s="152" t="s">
        <v>334</v>
      </c>
      <c r="D152" s="153" t="s">
        <v>103</v>
      </c>
      <c r="E152" s="153" t="s">
        <v>178</v>
      </c>
      <c r="F152" s="174" t="s">
        <v>604</v>
      </c>
      <c r="G152" s="174" t="s">
        <v>633</v>
      </c>
      <c r="H152" s="159">
        <v>190000</v>
      </c>
      <c r="I152" s="118">
        <f>H152*2.87%</f>
        <v>5453</v>
      </c>
      <c r="J152" s="105">
        <v>5776</v>
      </c>
      <c r="K152" s="105"/>
      <c r="L152" s="116">
        <f>+J152+I152+K152</f>
        <v>11229</v>
      </c>
      <c r="M152" s="116">
        <f>+H152-L152</f>
        <v>178771</v>
      </c>
      <c r="N152" s="116">
        <f>+IF(M152*12&lt;=416220.01,0,IF(M152*12&lt;=624329.01,(((M152*12-416220.01)*0.15)/12),IF((M152*12&lt;=867123.01),(31216+0.2*(M152*12-624329.01))/12,((79776+0.25*(M152*12-867123.01))/12))))-O152</f>
        <v>33275.687291666669</v>
      </c>
      <c r="O152" s="116"/>
      <c r="P152" s="155">
        <v>25</v>
      </c>
      <c r="Q152" s="116">
        <f>+P152+N152+L152</f>
        <v>44529.687291666669</v>
      </c>
      <c r="R152" s="155">
        <f>+H152-Q152</f>
        <v>145470.31270833334</v>
      </c>
    </row>
    <row r="153" spans="1:19" s="181" customFormat="1" ht="39.950000000000003" customHeight="1" x14ac:dyDescent="0.2">
      <c r="A153" s="156">
        <f>+A152+1</f>
        <v>70</v>
      </c>
      <c r="B153" s="102" t="s">
        <v>544</v>
      </c>
      <c r="C153" s="131" t="s">
        <v>335</v>
      </c>
      <c r="D153" s="102" t="s">
        <v>488</v>
      </c>
      <c r="E153" s="174" t="s">
        <v>178</v>
      </c>
      <c r="F153" s="102" t="s">
        <v>614</v>
      </c>
      <c r="G153" s="102" t="s">
        <v>645</v>
      </c>
      <c r="H153" s="118">
        <v>110000</v>
      </c>
      <c r="I153" s="118">
        <f>H153*2.87%</f>
        <v>3157</v>
      </c>
      <c r="J153" s="118">
        <f>+H153*3.04%</f>
        <v>3344</v>
      </c>
      <c r="K153" s="118"/>
      <c r="L153" s="116">
        <f>+J153+I153+K153</f>
        <v>6501</v>
      </c>
      <c r="M153" s="116">
        <f>+H153-L153</f>
        <v>103499</v>
      </c>
      <c r="N153" s="116">
        <v>14457.69</v>
      </c>
      <c r="O153" s="116"/>
      <c r="P153" s="155">
        <v>25</v>
      </c>
      <c r="Q153" s="116">
        <f t="shared" ref="Q153:Q154" si="64">+P153+N153+L153</f>
        <v>20983.690000000002</v>
      </c>
      <c r="R153" s="155">
        <f t="shared" ref="R153:R154" si="65">+H153-Q153</f>
        <v>89016.31</v>
      </c>
    </row>
    <row r="154" spans="1:19" s="115" customFormat="1" ht="39.950000000000003" customHeight="1" x14ac:dyDescent="0.2">
      <c r="A154" s="156">
        <f>+A153+1</f>
        <v>71</v>
      </c>
      <c r="B154" s="102" t="s">
        <v>452</v>
      </c>
      <c r="C154" s="131" t="s">
        <v>334</v>
      </c>
      <c r="D154" s="102" t="s">
        <v>488</v>
      </c>
      <c r="E154" s="174" t="s">
        <v>178</v>
      </c>
      <c r="F154" s="174" t="s">
        <v>603</v>
      </c>
      <c r="G154" s="174" t="s">
        <v>643</v>
      </c>
      <c r="H154" s="118">
        <v>110000</v>
      </c>
      <c r="I154" s="118">
        <f>H154*2.87%</f>
        <v>3157</v>
      </c>
      <c r="J154" s="118">
        <f>+H154*3.04%</f>
        <v>3344</v>
      </c>
      <c r="K154" s="118">
        <v>0</v>
      </c>
      <c r="L154" s="116">
        <f>+J154+I154+K154</f>
        <v>6501</v>
      </c>
      <c r="M154" s="116">
        <f>+H154-L154</f>
        <v>103499</v>
      </c>
      <c r="N154" s="116">
        <f t="shared" ref="N154" si="66">+IF(M154*12&lt;=416220.01,0,IF(M154*12&lt;=624329.01,(((M154*12-416220.01)*0.15)/12),IF((M154*12&lt;=867123.01),(31216+0.2*(M154*12-624329.01))/12,((79776+0.25*(M154*12-867123.01))/12))))-O154</f>
        <v>14457.687291666667</v>
      </c>
      <c r="O154" s="116">
        <v>0</v>
      </c>
      <c r="P154" s="155">
        <v>25</v>
      </c>
      <c r="Q154" s="116">
        <f t="shared" si="64"/>
        <v>20983.687291666669</v>
      </c>
      <c r="R154" s="155">
        <f t="shared" si="65"/>
        <v>89016.312708333338</v>
      </c>
    </row>
    <row r="155" spans="1:19" s="114" customFormat="1" ht="39.950000000000003" customHeight="1" x14ac:dyDescent="0.2">
      <c r="A155" s="366" t="s">
        <v>99</v>
      </c>
      <c r="B155" s="367"/>
      <c r="C155" s="100"/>
      <c r="D155" s="100"/>
      <c r="E155" s="100"/>
      <c r="F155" s="323"/>
      <c r="G155" s="323"/>
      <c r="H155" s="101">
        <f>SUM(H152:H154)</f>
        <v>410000</v>
      </c>
      <c r="I155" s="101">
        <f t="shared" ref="I155:R155" si="67">SUM(I152:I154)</f>
        <v>11767</v>
      </c>
      <c r="J155" s="101">
        <f t="shared" si="67"/>
        <v>12464</v>
      </c>
      <c r="K155" s="101">
        <f t="shared" si="67"/>
        <v>0</v>
      </c>
      <c r="L155" s="101">
        <f t="shared" si="67"/>
        <v>24231</v>
      </c>
      <c r="M155" s="101">
        <f t="shared" si="67"/>
        <v>385769</v>
      </c>
      <c r="N155" s="101">
        <f t="shared" si="67"/>
        <v>62191.06458333334</v>
      </c>
      <c r="O155" s="101">
        <f t="shared" si="67"/>
        <v>0</v>
      </c>
      <c r="P155" s="101">
        <f t="shared" si="67"/>
        <v>75</v>
      </c>
      <c r="Q155" s="101">
        <f t="shared" si="67"/>
        <v>86497.06458333334</v>
      </c>
      <c r="R155" s="101">
        <f t="shared" si="67"/>
        <v>323502.93541666667</v>
      </c>
      <c r="S155" s="345"/>
    </row>
    <row r="156" spans="1:19" s="181" customFormat="1" ht="39.950000000000003" customHeight="1" thickBot="1" x14ac:dyDescent="0.25">
      <c r="A156" s="168"/>
      <c r="B156" s="168"/>
      <c r="C156" s="168"/>
      <c r="D156" s="168"/>
      <c r="E156" s="168"/>
      <c r="F156" s="173"/>
      <c r="G156" s="173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</row>
    <row r="157" spans="1:19" s="181" customFormat="1" ht="39.950000000000003" customHeight="1" thickBot="1" x14ac:dyDescent="0.25">
      <c r="A157" s="171" t="s">
        <v>388</v>
      </c>
      <c r="B157" s="172"/>
      <c r="C157" s="172"/>
      <c r="D157" s="172"/>
      <c r="E157" s="172"/>
      <c r="F157" s="185"/>
      <c r="G157" s="185"/>
      <c r="H157" s="172"/>
      <c r="I157" s="172"/>
      <c r="J157" s="172"/>
      <c r="K157" s="172"/>
      <c r="L157" s="172"/>
      <c r="M157" s="172"/>
      <c r="N157" s="172"/>
      <c r="O157" s="172"/>
      <c r="P157" s="172"/>
      <c r="Q157" s="172"/>
      <c r="R157" s="172"/>
    </row>
    <row r="158" spans="1:19" s="184" customFormat="1" ht="39.950000000000003" customHeight="1" x14ac:dyDescent="0.2">
      <c r="A158" s="108">
        <f>+A154+1</f>
        <v>72</v>
      </c>
      <c r="B158" s="140" t="s">
        <v>308</v>
      </c>
      <c r="C158" s="108" t="s">
        <v>335</v>
      </c>
      <c r="D158" s="142" t="s">
        <v>647</v>
      </c>
      <c r="E158" s="153" t="s">
        <v>178</v>
      </c>
      <c r="F158" s="320" t="s">
        <v>617</v>
      </c>
      <c r="G158" s="320" t="s">
        <v>656</v>
      </c>
      <c r="H158" s="158">
        <v>170000</v>
      </c>
      <c r="I158" s="116">
        <f>H158*2.87%</f>
        <v>4879</v>
      </c>
      <c r="J158" s="116">
        <f>+H158*3.04%</f>
        <v>5168</v>
      </c>
      <c r="K158" s="116"/>
      <c r="L158" s="116">
        <f>+J158+I158+K158</f>
        <v>10047</v>
      </c>
      <c r="M158" s="116">
        <f>+H158-L158</f>
        <v>159953</v>
      </c>
      <c r="N158" s="116">
        <f>+IF(M158*12&lt;=416220.01,0,IF(M158*12&lt;=624329.01,(((M158*12-416220.01)*0.15)/12),IF((M158*12&lt;=867123.01),(31216+0.2*(M158*12-624329.01))/12,((79776+0.25*(M158*12-867123.01))/12))))-O158</f>
        <v>28571.187291666665</v>
      </c>
      <c r="O158" s="116"/>
      <c r="P158" s="159">
        <v>9381.82</v>
      </c>
      <c r="Q158" s="116">
        <f>+P158+N158+L158</f>
        <v>48000.007291666669</v>
      </c>
      <c r="R158" s="159">
        <f>+H158-Q158</f>
        <v>121999.99270833333</v>
      </c>
    </row>
    <row r="159" spans="1:19" s="111" customFormat="1" ht="39.950000000000003" customHeight="1" x14ac:dyDescent="0.2">
      <c r="A159" s="152">
        <f>+A158+1</f>
        <v>73</v>
      </c>
      <c r="B159" s="163" t="s">
        <v>578</v>
      </c>
      <c r="C159" s="152" t="s">
        <v>334</v>
      </c>
      <c r="D159" s="153" t="s">
        <v>105</v>
      </c>
      <c r="E159" s="153" t="s">
        <v>178</v>
      </c>
      <c r="F159" s="174" t="s">
        <v>624</v>
      </c>
      <c r="G159" s="174" t="s">
        <v>656</v>
      </c>
      <c r="H159" s="116">
        <v>50000</v>
      </c>
      <c r="I159" s="116">
        <f>H159*2.87%</f>
        <v>1435</v>
      </c>
      <c r="J159" s="105">
        <f>+H159*3.04%</f>
        <v>1520</v>
      </c>
      <c r="K159" s="105"/>
      <c r="L159" s="116">
        <f>+J159+I159+K159</f>
        <v>2955</v>
      </c>
      <c r="M159" s="116">
        <f>+H159-L159</f>
        <v>47045</v>
      </c>
      <c r="N159" s="116">
        <v>0</v>
      </c>
      <c r="O159" s="116"/>
      <c r="P159" s="155">
        <v>25</v>
      </c>
      <c r="Q159" s="116">
        <f>+P159+N159+L159</f>
        <v>2980</v>
      </c>
      <c r="R159" s="155">
        <f>+H159-Q159</f>
        <v>47020</v>
      </c>
    </row>
    <row r="160" spans="1:19" s="115" customFormat="1" ht="39.950000000000003" customHeight="1" x14ac:dyDescent="0.2">
      <c r="A160" s="366" t="s">
        <v>99</v>
      </c>
      <c r="B160" s="367"/>
      <c r="C160" s="182"/>
      <c r="D160" s="182"/>
      <c r="E160" s="182"/>
      <c r="F160" s="324"/>
      <c r="G160" s="325"/>
      <c r="H160" s="101">
        <f>SUM(H158:H159)</f>
        <v>220000</v>
      </c>
      <c r="I160" s="101">
        <f t="shared" ref="I160:R160" si="68">SUM(I158:I159)</f>
        <v>6314</v>
      </c>
      <c r="J160" s="101">
        <f t="shared" si="68"/>
        <v>6688</v>
      </c>
      <c r="K160" s="101">
        <f t="shared" si="68"/>
        <v>0</v>
      </c>
      <c r="L160" s="101">
        <f t="shared" si="68"/>
        <v>13002</v>
      </c>
      <c r="M160" s="101">
        <f t="shared" si="68"/>
        <v>206998</v>
      </c>
      <c r="N160" s="101">
        <f t="shared" si="68"/>
        <v>28571.187291666665</v>
      </c>
      <c r="O160" s="101">
        <f t="shared" si="68"/>
        <v>0</v>
      </c>
      <c r="P160" s="101">
        <f t="shared" si="68"/>
        <v>9406.82</v>
      </c>
      <c r="Q160" s="101">
        <f t="shared" si="68"/>
        <v>50980.007291666669</v>
      </c>
      <c r="R160" s="101">
        <f t="shared" si="68"/>
        <v>169019.99270833333</v>
      </c>
      <c r="S160" s="344"/>
    </row>
    <row r="161" spans="1:19" s="181" customFormat="1" ht="39.950000000000003" customHeight="1" thickBot="1" x14ac:dyDescent="0.25">
      <c r="A161" s="111"/>
      <c r="B161" s="111"/>
      <c r="C161" s="126"/>
      <c r="D161" s="111"/>
      <c r="E161" s="111"/>
      <c r="F161" s="115"/>
      <c r="G161" s="330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</row>
    <row r="162" spans="1:19" s="181" customFormat="1" ht="39.950000000000003" customHeight="1" thickBot="1" x14ac:dyDescent="0.25">
      <c r="A162" s="171" t="s">
        <v>449</v>
      </c>
      <c r="B162" s="172"/>
      <c r="C162" s="172"/>
      <c r="D162" s="172"/>
      <c r="E162" s="172"/>
      <c r="F162" s="185"/>
      <c r="G162" s="327"/>
      <c r="H162" s="172"/>
      <c r="I162" s="172"/>
      <c r="J162" s="172"/>
      <c r="K162" s="172"/>
      <c r="L162" s="172"/>
      <c r="M162" s="172"/>
      <c r="N162" s="172"/>
      <c r="O162" s="172"/>
      <c r="P162" s="172"/>
      <c r="Q162" s="172"/>
      <c r="R162" s="172"/>
    </row>
    <row r="163" spans="1:19" s="115" customFormat="1" ht="39.950000000000003" customHeight="1" x14ac:dyDescent="0.2">
      <c r="A163" s="165">
        <f>+A159+1</f>
        <v>74</v>
      </c>
      <c r="B163" s="140" t="s">
        <v>455</v>
      </c>
      <c r="C163" s="108" t="s">
        <v>335</v>
      </c>
      <c r="D163" s="142" t="s">
        <v>456</v>
      </c>
      <c r="E163" s="153" t="s">
        <v>178</v>
      </c>
      <c r="F163" s="102" t="s">
        <v>614</v>
      </c>
      <c r="G163" s="102" t="s">
        <v>645</v>
      </c>
      <c r="H163" s="158">
        <v>90000</v>
      </c>
      <c r="I163" s="118">
        <f>H163*2.87%</f>
        <v>2583</v>
      </c>
      <c r="J163" s="118">
        <f>+H163*3.04%</f>
        <v>2736</v>
      </c>
      <c r="K163" s="118"/>
      <c r="L163" s="116">
        <f>+J163+I163+K163</f>
        <v>5319</v>
      </c>
      <c r="M163" s="116">
        <f>+H163-L163</f>
        <v>84681</v>
      </c>
      <c r="N163" s="116">
        <f>+IF(M163*12&lt;=416220.01,0,IF(M163*12&lt;=624329.01,(((M163*12-416220.01)*0.15)/12),IF((M163*12&lt;=867123.01),(31216+0.2*(M163*12-624329.01))/12,((79776+0.25*(M163*12-867123.01))/12))))-O163</f>
        <v>9753.1872916666671</v>
      </c>
      <c r="O163" s="116"/>
      <c r="P163" s="155">
        <v>65</v>
      </c>
      <c r="Q163" s="116">
        <f>+P163+N163+L163</f>
        <v>15137.187291666667</v>
      </c>
      <c r="R163" s="155">
        <f>+H163-Q163</f>
        <v>74862.812708333338</v>
      </c>
    </row>
    <row r="164" spans="1:19" s="111" customFormat="1" ht="39.950000000000003" customHeight="1" x14ac:dyDescent="0.2">
      <c r="A164" s="165">
        <f>+A163+1</f>
        <v>75</v>
      </c>
      <c r="B164" s="140" t="s">
        <v>447</v>
      </c>
      <c r="C164" s="108" t="s">
        <v>335</v>
      </c>
      <c r="D164" s="142" t="s">
        <v>448</v>
      </c>
      <c r="E164" s="153" t="s">
        <v>178</v>
      </c>
      <c r="F164" s="174" t="s">
        <v>603</v>
      </c>
      <c r="G164" s="174" t="s">
        <v>643</v>
      </c>
      <c r="H164" s="158">
        <v>80000</v>
      </c>
      <c r="I164" s="118">
        <f>H164*2.87%</f>
        <v>2296</v>
      </c>
      <c r="J164" s="118">
        <f>+H164*3.04%</f>
        <v>2432</v>
      </c>
      <c r="K164" s="118">
        <v>1919.78</v>
      </c>
      <c r="L164" s="116">
        <f>+J164+I164+K164</f>
        <v>6647.78</v>
      </c>
      <c r="M164" s="116">
        <f>+H164-L164</f>
        <v>73352.22</v>
      </c>
      <c r="N164" s="116">
        <f>+IF(M164*12&lt;=416220.01,0,IF(M164*12&lt;=624329.01,(((M164*12-416220.01)*0.15)/12),IF((M164*12&lt;=867123.01),(31216+0.2*(M164*12-624329.01))/12,((79776+0.25*(M164*12-867123.01))/12))))-O164</f>
        <v>6920.9922916666665</v>
      </c>
      <c r="O164" s="116">
        <v>0</v>
      </c>
      <c r="P164" s="155">
        <v>225</v>
      </c>
      <c r="Q164" s="116">
        <f>+P164+N164+L164</f>
        <v>13793.772291666666</v>
      </c>
      <c r="R164" s="155">
        <f>+H164-Q164</f>
        <v>66206.227708333332</v>
      </c>
    </row>
    <row r="165" spans="1:19" s="111" customFormat="1" ht="39.950000000000003" customHeight="1" x14ac:dyDescent="0.2">
      <c r="A165" s="366" t="s">
        <v>99</v>
      </c>
      <c r="B165" s="367"/>
      <c r="C165" s="100"/>
      <c r="D165" s="100"/>
      <c r="E165" s="100"/>
      <c r="F165" s="323"/>
      <c r="G165" s="323"/>
      <c r="H165" s="101">
        <f>SUM(H163:H164)</f>
        <v>170000</v>
      </c>
      <c r="I165" s="101">
        <f t="shared" ref="I165:R165" si="69">SUM(I163:I164)</f>
        <v>4879</v>
      </c>
      <c r="J165" s="101">
        <f t="shared" si="69"/>
        <v>5168</v>
      </c>
      <c r="K165" s="101">
        <f t="shared" si="69"/>
        <v>1919.78</v>
      </c>
      <c r="L165" s="101">
        <f t="shared" si="69"/>
        <v>11966.779999999999</v>
      </c>
      <c r="M165" s="101">
        <f t="shared" si="69"/>
        <v>158033.22</v>
      </c>
      <c r="N165" s="101">
        <f t="shared" si="69"/>
        <v>16674.179583333334</v>
      </c>
      <c r="O165" s="101">
        <f t="shared" si="69"/>
        <v>0</v>
      </c>
      <c r="P165" s="101">
        <f t="shared" si="69"/>
        <v>290</v>
      </c>
      <c r="Q165" s="101">
        <f t="shared" si="69"/>
        <v>28930.959583333333</v>
      </c>
      <c r="R165" s="101">
        <f t="shared" si="69"/>
        <v>141069.04041666666</v>
      </c>
      <c r="S165" s="344"/>
    </row>
    <row r="166" spans="1:19" s="169" customFormat="1" ht="39.950000000000003" customHeight="1" thickBot="1" x14ac:dyDescent="0.25">
      <c r="A166" s="168"/>
      <c r="B166" s="168"/>
      <c r="C166" s="183"/>
      <c r="D166" s="183"/>
      <c r="E166" s="183"/>
      <c r="F166" s="331"/>
      <c r="G166" s="331"/>
    </row>
    <row r="167" spans="1:19" s="169" customFormat="1" ht="39.950000000000003" customHeight="1" thickBot="1" x14ac:dyDescent="0.25">
      <c r="A167" s="171" t="s">
        <v>305</v>
      </c>
      <c r="B167" s="172"/>
      <c r="C167" s="172"/>
      <c r="D167" s="172"/>
      <c r="E167" s="172"/>
      <c r="F167" s="185"/>
      <c r="G167" s="327"/>
      <c r="H167" s="172"/>
      <c r="I167" s="172"/>
      <c r="J167" s="172"/>
      <c r="K167" s="172"/>
      <c r="L167" s="172"/>
      <c r="M167" s="172"/>
      <c r="N167" s="172"/>
      <c r="O167" s="172"/>
      <c r="P167" s="172"/>
      <c r="Q167" s="172"/>
      <c r="R167" s="172"/>
    </row>
    <row r="168" spans="1:19" s="169" customFormat="1" ht="39.950000000000003" customHeight="1" x14ac:dyDescent="0.2">
      <c r="A168" s="290">
        <f>+A163+1</f>
        <v>75</v>
      </c>
      <c r="B168" s="141" t="s">
        <v>581</v>
      </c>
      <c r="C168" s="103" t="s">
        <v>334</v>
      </c>
      <c r="D168" s="139" t="s">
        <v>542</v>
      </c>
      <c r="E168" s="174" t="s">
        <v>178</v>
      </c>
      <c r="F168" s="320" t="s">
        <v>617</v>
      </c>
      <c r="G168" s="320" t="s">
        <v>658</v>
      </c>
      <c r="H168" s="190">
        <v>100000</v>
      </c>
      <c r="I168" s="118">
        <f>H168*2.87%</f>
        <v>2870</v>
      </c>
      <c r="J168" s="118">
        <f>+H168*3.04%</f>
        <v>3040</v>
      </c>
      <c r="K168" s="118">
        <v>0</v>
      </c>
      <c r="L168" s="116">
        <f>+J168+I168+K168</f>
        <v>5910</v>
      </c>
      <c r="M168" s="116">
        <f>+H168-L168</f>
        <v>94090</v>
      </c>
      <c r="N168" s="116">
        <f>+IF(M168*12&lt;=416220.01,0,IF(M168*12&lt;=624329.01,(((M168*12-416220.01)*0.15)/12),IF((M168*12&lt;=867123.01),(31216+0.2*(M168*12-624329.01))/12,((79776+0.25*(M168*12-867123.01))/12))))-O168</f>
        <v>12105.437291666667</v>
      </c>
      <c r="O168" s="116">
        <v>0</v>
      </c>
      <c r="P168" s="155">
        <v>225</v>
      </c>
      <c r="Q168" s="116">
        <f>+L168+N168+P168</f>
        <v>18240.437291666669</v>
      </c>
      <c r="R168" s="155">
        <f>+H168-Q168</f>
        <v>81759.562708333338</v>
      </c>
    </row>
    <row r="169" spans="1:19" s="115" customFormat="1" ht="39.950000000000003" customHeight="1" x14ac:dyDescent="0.2">
      <c r="A169" s="165">
        <f>+A164+1</f>
        <v>76</v>
      </c>
      <c r="B169" s="141" t="s">
        <v>653</v>
      </c>
      <c r="C169" s="103" t="s">
        <v>334</v>
      </c>
      <c r="D169" s="139" t="s">
        <v>654</v>
      </c>
      <c r="E169" s="174" t="s">
        <v>178</v>
      </c>
      <c r="F169" s="320" t="s">
        <v>617</v>
      </c>
      <c r="G169" s="320" t="s">
        <v>658</v>
      </c>
      <c r="H169" s="190">
        <v>60000</v>
      </c>
      <c r="I169" s="118">
        <f>H169*2.87%</f>
        <v>1722</v>
      </c>
      <c r="J169" s="118">
        <f>+H169*3.04%</f>
        <v>1824</v>
      </c>
      <c r="K169" s="118">
        <v>0</v>
      </c>
      <c r="L169" s="118">
        <f>+J169+I169+K169</f>
        <v>3546</v>
      </c>
      <c r="M169" s="118">
        <f>+H169-L169</f>
        <v>56454</v>
      </c>
      <c r="N169" s="118">
        <v>709.52</v>
      </c>
      <c r="O169" s="118">
        <v>0</v>
      </c>
      <c r="P169" s="155">
        <v>225</v>
      </c>
      <c r="Q169" s="116">
        <f>+L169+N169+P169</f>
        <v>4480.5200000000004</v>
      </c>
      <c r="R169" s="155">
        <f>+H169-Q169</f>
        <v>55519.479999999996</v>
      </c>
    </row>
    <row r="170" spans="1:19" s="114" customFormat="1" ht="39.950000000000003" customHeight="1" x14ac:dyDescent="0.2">
      <c r="A170" s="366" t="s">
        <v>99</v>
      </c>
      <c r="B170" s="367"/>
      <c r="C170" s="100"/>
      <c r="D170" s="100"/>
      <c r="E170" s="100"/>
      <c r="F170" s="323"/>
      <c r="G170" s="323"/>
      <c r="H170" s="101">
        <f t="shared" ref="H170:N170" si="70">SUM(H168:H169)</f>
        <v>160000</v>
      </c>
      <c r="I170" s="101">
        <f t="shared" si="70"/>
        <v>4592</v>
      </c>
      <c r="J170" s="101">
        <f t="shared" si="70"/>
        <v>4864</v>
      </c>
      <c r="K170" s="101">
        <f t="shared" si="70"/>
        <v>0</v>
      </c>
      <c r="L170" s="101">
        <f t="shared" si="70"/>
        <v>9456</v>
      </c>
      <c r="M170" s="101">
        <f t="shared" si="70"/>
        <v>150544</v>
      </c>
      <c r="N170" s="101">
        <f t="shared" si="70"/>
        <v>12814.957291666668</v>
      </c>
      <c r="O170" s="101">
        <f>SUM(O169:O169)</f>
        <v>0</v>
      </c>
      <c r="P170" s="101">
        <f>SUM(P168:P169)</f>
        <v>450</v>
      </c>
      <c r="Q170" s="101">
        <f>SUM(Q168:Q169)</f>
        <v>22720.957291666669</v>
      </c>
      <c r="R170" s="101">
        <f>SUM(R168:R169)</f>
        <v>137279.04270833335</v>
      </c>
      <c r="S170" s="346"/>
    </row>
    <row r="171" spans="1:19" s="114" customFormat="1" ht="39.950000000000003" customHeight="1" thickBot="1" x14ac:dyDescent="0.25">
      <c r="A171" s="168"/>
      <c r="B171" s="168"/>
      <c r="C171" s="168"/>
      <c r="D171" s="168"/>
      <c r="E171" s="168"/>
      <c r="F171" s="173"/>
      <c r="G171" s="173"/>
    </row>
    <row r="172" spans="1:19" s="114" customFormat="1" ht="39.950000000000003" customHeight="1" thickBot="1" x14ac:dyDescent="0.25">
      <c r="A172" s="171" t="s">
        <v>181</v>
      </c>
      <c r="B172" s="172"/>
      <c r="C172" s="172"/>
      <c r="D172" s="172"/>
      <c r="E172" s="172"/>
      <c r="F172" s="185"/>
      <c r="G172" s="185"/>
      <c r="H172" s="172"/>
      <c r="I172" s="172"/>
      <c r="J172" s="172"/>
      <c r="K172" s="185"/>
      <c r="L172" s="185"/>
      <c r="M172" s="185"/>
      <c r="N172" s="185"/>
      <c r="O172" s="185"/>
      <c r="P172" s="185"/>
      <c r="Q172" s="185"/>
      <c r="R172" s="172"/>
    </row>
    <row r="173" spans="1:19" s="114" customFormat="1" ht="39.950000000000003" customHeight="1" x14ac:dyDescent="0.2">
      <c r="A173" s="103">
        <f>+A169+1</f>
        <v>77</v>
      </c>
      <c r="B173" s="140" t="s">
        <v>306</v>
      </c>
      <c r="C173" s="108" t="s">
        <v>335</v>
      </c>
      <c r="D173" s="142" t="s">
        <v>489</v>
      </c>
      <c r="E173" s="153" t="s">
        <v>178</v>
      </c>
      <c r="F173" s="320" t="s">
        <v>617</v>
      </c>
      <c r="G173" s="320" t="s">
        <v>658</v>
      </c>
      <c r="H173" s="158">
        <v>145000</v>
      </c>
      <c r="I173" s="118">
        <f>H173*2.87%</f>
        <v>4161.5</v>
      </c>
      <c r="J173" s="118">
        <f>+H173*3.04%</f>
        <v>4408</v>
      </c>
      <c r="K173" s="118"/>
      <c r="L173" s="118">
        <f>+J173+I173+K173</f>
        <v>8569.5</v>
      </c>
      <c r="M173" s="118">
        <f>+H173-L173</f>
        <v>136430.5</v>
      </c>
      <c r="N173" s="116">
        <f>+IF(M173*12&lt;=416220.01,0,IF(M173*12&lt;=624329.01,(((M173*12-416220.01)*0.15)/12),IF((M173*12&lt;=867123.01),(31216+0.2*(M173*12-624329.01))/12,((79776+0.25*(M173*12-867123.01))/12))))-O173</f>
        <v>22690.562291666665</v>
      </c>
      <c r="O173" s="118"/>
      <c r="P173" s="159">
        <v>6671.44</v>
      </c>
      <c r="Q173" s="118">
        <f>+P173+N173+L173</f>
        <v>37931.502291666664</v>
      </c>
      <c r="R173" s="155">
        <f>+H173-Q173</f>
        <v>107068.49770833334</v>
      </c>
    </row>
    <row r="174" spans="1:19" s="114" customFormat="1" ht="39.950000000000003" customHeight="1" x14ac:dyDescent="0.2">
      <c r="A174" s="366" t="s">
        <v>99</v>
      </c>
      <c r="B174" s="368"/>
      <c r="C174" s="186"/>
      <c r="D174" s="186"/>
      <c r="E174" s="186"/>
      <c r="F174" s="332"/>
      <c r="G174" s="333"/>
      <c r="H174" s="101">
        <f>+H173</f>
        <v>145000</v>
      </c>
      <c r="I174" s="101">
        <f t="shared" ref="I174:R174" si="71">+I173</f>
        <v>4161.5</v>
      </c>
      <c r="J174" s="101">
        <f t="shared" si="71"/>
        <v>4408</v>
      </c>
      <c r="K174" s="101">
        <f t="shared" si="71"/>
        <v>0</v>
      </c>
      <c r="L174" s="101">
        <f t="shared" si="71"/>
        <v>8569.5</v>
      </c>
      <c r="M174" s="101">
        <f t="shared" si="71"/>
        <v>136430.5</v>
      </c>
      <c r="N174" s="101">
        <f t="shared" si="71"/>
        <v>22690.562291666665</v>
      </c>
      <c r="O174" s="101">
        <f t="shared" si="71"/>
        <v>0</v>
      </c>
      <c r="P174" s="101">
        <f t="shared" si="71"/>
        <v>6671.44</v>
      </c>
      <c r="Q174" s="101">
        <f t="shared" si="71"/>
        <v>37931.502291666664</v>
      </c>
      <c r="R174" s="101">
        <f t="shared" si="71"/>
        <v>107068.49770833334</v>
      </c>
      <c r="S174" s="345"/>
    </row>
    <row r="175" spans="1:19" s="114" customFormat="1" ht="39.950000000000003" customHeight="1" thickBot="1" x14ac:dyDescent="0.25">
      <c r="A175" s="124"/>
      <c r="B175" s="110"/>
      <c r="C175" s="113"/>
      <c r="D175" s="187"/>
      <c r="E175" s="188"/>
      <c r="F175" s="321"/>
      <c r="G175" s="321"/>
      <c r="H175" s="189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</row>
    <row r="176" spans="1:19" s="181" customFormat="1" ht="39.950000000000003" customHeight="1" thickBot="1" x14ac:dyDescent="0.25">
      <c r="A176" s="171" t="s">
        <v>172</v>
      </c>
      <c r="B176" s="172"/>
      <c r="C176" s="172"/>
      <c r="D176" s="172"/>
      <c r="E176" s="172"/>
      <c r="F176" s="185"/>
      <c r="G176" s="185"/>
      <c r="H176" s="172"/>
      <c r="I176" s="172"/>
      <c r="J176" s="172"/>
      <c r="K176" s="172"/>
      <c r="L176" s="172"/>
      <c r="M176" s="172"/>
      <c r="N176" s="172"/>
      <c r="O176" s="172"/>
      <c r="P176" s="172"/>
      <c r="Q176" s="172"/>
      <c r="R176" s="172"/>
    </row>
    <row r="177" spans="1:19" s="114" customFormat="1" ht="39.950000000000003" customHeight="1" x14ac:dyDescent="0.2">
      <c r="A177" s="103">
        <f>+A173+1</f>
        <v>78</v>
      </c>
      <c r="B177" s="140" t="s">
        <v>416</v>
      </c>
      <c r="C177" s="108" t="s">
        <v>335</v>
      </c>
      <c r="D177" s="142" t="s">
        <v>648</v>
      </c>
      <c r="E177" s="153" t="s">
        <v>178</v>
      </c>
      <c r="F177" s="174" t="s">
        <v>646</v>
      </c>
      <c r="G177" s="102" t="s">
        <v>645</v>
      </c>
      <c r="H177" s="158">
        <v>145000</v>
      </c>
      <c r="I177" s="118">
        <f>H177*2.87%</f>
        <v>4161.5</v>
      </c>
      <c r="J177" s="118">
        <f>+H177*3.04%</f>
        <v>4408</v>
      </c>
      <c r="K177" s="118"/>
      <c r="L177" s="116">
        <f t="shared" ref="L177:L182" si="72">+J177+I177+K177</f>
        <v>8569.5</v>
      </c>
      <c r="M177" s="116">
        <f t="shared" ref="M177:M182" si="73">+H177-L177</f>
        <v>136430.5</v>
      </c>
      <c r="N177" s="116">
        <f t="shared" ref="N177:N182" si="74">+IF(M177*12&lt;=416220.01,0,IF(M177*12&lt;=624329.01,(((M177*12-416220.01)*0.15)/12),IF((M177*12&lt;=867123.01),(31216+0.2*(M177*12-624329.01))/12,((79776+0.25*(M177*12-867123.01))/12))))-O177</f>
        <v>22690.562291666665</v>
      </c>
      <c r="O177" s="118"/>
      <c r="P177" s="159">
        <v>25</v>
      </c>
      <c r="Q177" s="118">
        <f t="shared" ref="Q177:Q182" si="75">+P177+N177+L177</f>
        <v>31285.062291666665</v>
      </c>
      <c r="R177" s="155">
        <f t="shared" ref="R177:R182" si="76">+H177-Q177</f>
        <v>113714.93770833334</v>
      </c>
    </row>
    <row r="178" spans="1:19" s="184" customFormat="1" ht="39.950000000000003" customHeight="1" x14ac:dyDescent="0.2">
      <c r="A178" s="108">
        <f>+A177+1</f>
        <v>79</v>
      </c>
      <c r="B178" s="140" t="s">
        <v>80</v>
      </c>
      <c r="C178" s="108" t="s">
        <v>335</v>
      </c>
      <c r="D178" s="142" t="s">
        <v>399</v>
      </c>
      <c r="E178" s="153" t="s">
        <v>178</v>
      </c>
      <c r="F178" s="154" t="s">
        <v>623</v>
      </c>
      <c r="G178" s="154" t="s">
        <v>662</v>
      </c>
      <c r="H178" s="158">
        <v>80000</v>
      </c>
      <c r="I178" s="105">
        <f t="shared" ref="I178:I179" si="77">H178*2.87%</f>
        <v>2296</v>
      </c>
      <c r="J178" s="105">
        <f t="shared" ref="J178:J179" si="78">+H178*3.04%</f>
        <v>2432</v>
      </c>
      <c r="K178" s="116">
        <v>1919.78</v>
      </c>
      <c r="L178" s="116">
        <f t="shared" si="72"/>
        <v>6647.78</v>
      </c>
      <c r="M178" s="116">
        <f t="shared" si="73"/>
        <v>73352.22</v>
      </c>
      <c r="N178" s="116">
        <f t="shared" si="74"/>
        <v>6920.9922916666665</v>
      </c>
      <c r="O178" s="116"/>
      <c r="P178" s="159">
        <v>5713.96</v>
      </c>
      <c r="Q178" s="118">
        <f t="shared" si="75"/>
        <v>19282.732291666667</v>
      </c>
      <c r="R178" s="155">
        <f t="shared" si="76"/>
        <v>60717.267708333333</v>
      </c>
    </row>
    <row r="179" spans="1:19" s="181" customFormat="1" ht="39.950000000000003" customHeight="1" x14ac:dyDescent="0.2">
      <c r="A179" s="108">
        <f>+A178+1</f>
        <v>80</v>
      </c>
      <c r="B179" s="140" t="s">
        <v>310</v>
      </c>
      <c r="C179" s="108" t="s">
        <v>335</v>
      </c>
      <c r="D179" s="142" t="s">
        <v>189</v>
      </c>
      <c r="E179" s="153" t="s">
        <v>178</v>
      </c>
      <c r="F179" s="174" t="s">
        <v>604</v>
      </c>
      <c r="G179" s="174" t="s">
        <v>633</v>
      </c>
      <c r="H179" s="158">
        <v>80000</v>
      </c>
      <c r="I179" s="105">
        <f t="shared" si="77"/>
        <v>2296</v>
      </c>
      <c r="J179" s="105">
        <f t="shared" si="78"/>
        <v>2432</v>
      </c>
      <c r="K179" s="116">
        <v>1919.78</v>
      </c>
      <c r="L179" s="116">
        <f>+J179+I179+K179</f>
        <v>6647.78</v>
      </c>
      <c r="M179" s="116">
        <f>+H179-L179</f>
        <v>73352.22</v>
      </c>
      <c r="N179" s="116">
        <f t="shared" si="74"/>
        <v>6920.9922916666665</v>
      </c>
      <c r="O179" s="116"/>
      <c r="P179" s="159">
        <v>2990.29</v>
      </c>
      <c r="Q179" s="118">
        <f t="shared" si="75"/>
        <v>16559.062291666665</v>
      </c>
      <c r="R179" s="155">
        <f t="shared" si="76"/>
        <v>63440.937708333338</v>
      </c>
    </row>
    <row r="180" spans="1:19" s="181" customFormat="1" ht="39.950000000000003" customHeight="1" x14ac:dyDescent="0.2">
      <c r="A180" s="108">
        <f>+A179+1</f>
        <v>81</v>
      </c>
      <c r="B180" s="140" t="s">
        <v>307</v>
      </c>
      <c r="C180" s="108" t="s">
        <v>335</v>
      </c>
      <c r="D180" s="142" t="s">
        <v>189</v>
      </c>
      <c r="E180" s="153" t="s">
        <v>178</v>
      </c>
      <c r="F180" s="174" t="s">
        <v>603</v>
      </c>
      <c r="G180" s="174" t="s">
        <v>643</v>
      </c>
      <c r="H180" s="158">
        <v>80000</v>
      </c>
      <c r="I180" s="116">
        <f>H180*2.87%</f>
        <v>2296</v>
      </c>
      <c r="J180" s="116">
        <f>+H180*3.04%</f>
        <v>2432</v>
      </c>
      <c r="K180" s="116">
        <v>1919.78</v>
      </c>
      <c r="L180" s="116">
        <f>+J180+I180+K180</f>
        <v>6647.78</v>
      </c>
      <c r="M180" s="116">
        <f>+H180-L180</f>
        <v>73352.22</v>
      </c>
      <c r="N180" s="116">
        <f t="shared" si="74"/>
        <v>6920.9922916666665</v>
      </c>
      <c r="O180" s="116"/>
      <c r="P180" s="159">
        <v>25</v>
      </c>
      <c r="Q180" s="118">
        <f t="shared" si="75"/>
        <v>13593.772291666666</v>
      </c>
      <c r="R180" s="155">
        <f t="shared" si="76"/>
        <v>66406.227708333332</v>
      </c>
    </row>
    <row r="181" spans="1:19" s="181" customFormat="1" ht="39.950000000000003" customHeight="1" x14ac:dyDescent="0.2">
      <c r="A181" s="108">
        <f>+A180+1</f>
        <v>82</v>
      </c>
      <c r="B181" s="140" t="s">
        <v>457</v>
      </c>
      <c r="C181" s="108" t="s">
        <v>335</v>
      </c>
      <c r="D181" s="142" t="s">
        <v>311</v>
      </c>
      <c r="E181" s="153" t="s">
        <v>178</v>
      </c>
      <c r="F181" s="102" t="s">
        <v>614</v>
      </c>
      <c r="G181" s="102" t="s">
        <v>645</v>
      </c>
      <c r="H181" s="158">
        <v>65000</v>
      </c>
      <c r="I181" s="105">
        <f t="shared" ref="I181:I182" si="79">H181*2.87%</f>
        <v>1865.5</v>
      </c>
      <c r="J181" s="105">
        <f t="shared" ref="J181:J182" si="80">+H181*3.04%</f>
        <v>1976</v>
      </c>
      <c r="K181" s="105"/>
      <c r="L181" s="116">
        <f t="shared" si="72"/>
        <v>3841.5</v>
      </c>
      <c r="M181" s="116">
        <f t="shared" si="73"/>
        <v>61158.5</v>
      </c>
      <c r="N181" s="116">
        <f t="shared" si="74"/>
        <v>4427.5498333333335</v>
      </c>
      <c r="O181" s="116"/>
      <c r="P181" s="159">
        <v>225</v>
      </c>
      <c r="Q181" s="116">
        <f t="shared" si="75"/>
        <v>8494.0498333333344</v>
      </c>
      <c r="R181" s="159">
        <f t="shared" si="76"/>
        <v>56505.950166666662</v>
      </c>
    </row>
    <row r="182" spans="1:19" s="181" customFormat="1" ht="39.950000000000003" customHeight="1" x14ac:dyDescent="0.2">
      <c r="A182" s="108">
        <f>+A181+1</f>
        <v>83</v>
      </c>
      <c r="B182" s="140" t="s">
        <v>177</v>
      </c>
      <c r="C182" s="108" t="s">
        <v>335</v>
      </c>
      <c r="D182" s="142" t="s">
        <v>311</v>
      </c>
      <c r="E182" s="153" t="s">
        <v>178</v>
      </c>
      <c r="F182" s="154" t="s">
        <v>623</v>
      </c>
      <c r="G182" s="154" t="s">
        <v>662</v>
      </c>
      <c r="H182" s="158">
        <v>50000</v>
      </c>
      <c r="I182" s="105">
        <f t="shared" si="79"/>
        <v>1435</v>
      </c>
      <c r="J182" s="105">
        <f t="shared" si="80"/>
        <v>1520</v>
      </c>
      <c r="K182" s="105"/>
      <c r="L182" s="116">
        <f t="shared" si="72"/>
        <v>2955</v>
      </c>
      <c r="M182" s="116">
        <f t="shared" si="73"/>
        <v>47045</v>
      </c>
      <c r="N182" s="116">
        <f t="shared" si="74"/>
        <v>1853.9998749999997</v>
      </c>
      <c r="O182" s="116"/>
      <c r="P182" s="159">
        <v>9560.89</v>
      </c>
      <c r="Q182" s="116">
        <f t="shared" si="75"/>
        <v>14369.889874999999</v>
      </c>
      <c r="R182" s="159">
        <f t="shared" si="76"/>
        <v>35630.110124999999</v>
      </c>
    </row>
    <row r="183" spans="1:19" s="181" customFormat="1" ht="39.950000000000003" customHeight="1" x14ac:dyDescent="0.2">
      <c r="A183" s="366" t="s">
        <v>99</v>
      </c>
      <c r="B183" s="367"/>
      <c r="C183" s="100"/>
      <c r="D183" s="100"/>
      <c r="E183" s="100"/>
      <c r="F183" s="323"/>
      <c r="G183" s="323"/>
      <c r="H183" s="101">
        <f t="shared" ref="H183:Q183" si="81">SUM(H177:H182)</f>
        <v>500000</v>
      </c>
      <c r="I183" s="101">
        <f t="shared" si="81"/>
        <v>14350</v>
      </c>
      <c r="J183" s="101">
        <f t="shared" si="81"/>
        <v>15200</v>
      </c>
      <c r="K183" s="101">
        <f t="shared" si="81"/>
        <v>5759.34</v>
      </c>
      <c r="L183" s="101">
        <f t="shared" si="81"/>
        <v>35309.339999999997</v>
      </c>
      <c r="M183" s="101">
        <f t="shared" si="81"/>
        <v>464690.66000000003</v>
      </c>
      <c r="N183" s="101">
        <f t="shared" si="81"/>
        <v>49735.088875000001</v>
      </c>
      <c r="O183" s="101">
        <f t="shared" si="81"/>
        <v>0</v>
      </c>
      <c r="P183" s="101">
        <f t="shared" si="81"/>
        <v>18540.14</v>
      </c>
      <c r="Q183" s="101">
        <f t="shared" si="81"/>
        <v>103584.568875</v>
      </c>
      <c r="R183" s="101">
        <f>SUM(R177:R182)</f>
        <v>396415.431125</v>
      </c>
      <c r="S183" s="347"/>
    </row>
    <row r="184" spans="1:19" s="181" customFormat="1" ht="39.950000000000003" customHeight="1" thickBot="1" x14ac:dyDescent="0.25">
      <c r="A184" s="168"/>
      <c r="B184" s="168"/>
      <c r="C184" s="168"/>
      <c r="D184" s="168"/>
      <c r="E184" s="168"/>
      <c r="F184" s="173"/>
      <c r="G184" s="173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</row>
    <row r="185" spans="1:19" s="184" customFormat="1" ht="39.950000000000003" customHeight="1" thickBot="1" x14ac:dyDescent="0.25">
      <c r="A185" s="171" t="s">
        <v>363</v>
      </c>
      <c r="B185" s="172"/>
      <c r="C185" s="172"/>
      <c r="D185" s="172"/>
      <c r="E185" s="172"/>
      <c r="F185" s="185"/>
      <c r="G185" s="185"/>
      <c r="H185" s="172"/>
      <c r="I185" s="172"/>
      <c r="J185" s="172"/>
      <c r="K185" s="172"/>
      <c r="L185" s="172"/>
      <c r="M185" s="172"/>
      <c r="N185" s="172"/>
      <c r="O185" s="172"/>
      <c r="P185" s="172"/>
      <c r="Q185" s="172"/>
      <c r="R185" s="172"/>
    </row>
    <row r="186" spans="1:19" s="181" customFormat="1" ht="39.950000000000003" customHeight="1" x14ac:dyDescent="0.2">
      <c r="A186" s="103">
        <f>+A181+1</f>
        <v>83</v>
      </c>
      <c r="B186" s="109" t="s">
        <v>182</v>
      </c>
      <c r="C186" s="108" t="s">
        <v>335</v>
      </c>
      <c r="D186" s="107" t="s">
        <v>364</v>
      </c>
      <c r="E186" s="153" t="s">
        <v>178</v>
      </c>
      <c r="F186" s="320" t="s">
        <v>617</v>
      </c>
      <c r="G186" s="320" t="s">
        <v>658</v>
      </c>
      <c r="H186" s="191">
        <v>180000</v>
      </c>
      <c r="I186" s="97">
        <f>H186*2.87%</f>
        <v>5166</v>
      </c>
      <c r="J186" s="118">
        <f>+H186*3.04%</f>
        <v>5472</v>
      </c>
      <c r="K186" s="118"/>
      <c r="L186" s="116">
        <f>+J186+I186+K186</f>
        <v>10638</v>
      </c>
      <c r="M186" s="116">
        <f>+H186-L186</f>
        <v>169362</v>
      </c>
      <c r="N186" s="116">
        <f>+IF(M186*12&lt;=416220.01,0,IF(M186*12&lt;=624329.01,(((M186*12-416220.01)*0.15)/12),IF((M186*12&lt;=867123.01),(31216+0.2*(M186*12-624329.01))/12,((79776+0.25*(M186*12-867123.01))/12))))</f>
        <v>30923.437291666665</v>
      </c>
      <c r="O186" s="116"/>
      <c r="P186" s="155">
        <v>28032.240000000002</v>
      </c>
      <c r="Q186" s="116">
        <f>+P186+N186+L186</f>
        <v>69593.677291666667</v>
      </c>
      <c r="R186" s="162">
        <f>+H186-Q186</f>
        <v>110406.32270833333</v>
      </c>
    </row>
    <row r="187" spans="1:19" s="111" customFormat="1" ht="39.950000000000003" customHeight="1" x14ac:dyDescent="0.2">
      <c r="A187" s="366" t="s">
        <v>99</v>
      </c>
      <c r="B187" s="367"/>
      <c r="C187" s="100"/>
      <c r="D187" s="100"/>
      <c r="E187" s="100"/>
      <c r="F187" s="323"/>
      <c r="G187" s="323"/>
      <c r="H187" s="101">
        <f t="shared" ref="H187:R187" si="82">SUM(H186:H186)</f>
        <v>180000</v>
      </c>
      <c r="I187" s="101">
        <f t="shared" si="82"/>
        <v>5166</v>
      </c>
      <c r="J187" s="101">
        <f t="shared" si="82"/>
        <v>5472</v>
      </c>
      <c r="K187" s="101">
        <f t="shared" si="82"/>
        <v>0</v>
      </c>
      <c r="L187" s="101">
        <f t="shared" si="82"/>
        <v>10638</v>
      </c>
      <c r="M187" s="101">
        <f t="shared" si="82"/>
        <v>169362</v>
      </c>
      <c r="N187" s="101">
        <f t="shared" si="82"/>
        <v>30923.437291666665</v>
      </c>
      <c r="O187" s="101">
        <f t="shared" si="82"/>
        <v>0</v>
      </c>
      <c r="P187" s="101">
        <f t="shared" si="82"/>
        <v>28032.240000000002</v>
      </c>
      <c r="Q187" s="101">
        <f t="shared" si="82"/>
        <v>69593.677291666667</v>
      </c>
      <c r="R187" s="101">
        <f t="shared" si="82"/>
        <v>110406.32270833333</v>
      </c>
      <c r="S187" s="344"/>
    </row>
    <row r="188" spans="1:19" s="115" customFormat="1" ht="39.950000000000003" customHeight="1" thickBot="1" x14ac:dyDescent="0.25">
      <c r="A188" s="168"/>
      <c r="B188" s="168"/>
      <c r="C188" s="168"/>
      <c r="D188" s="168"/>
      <c r="E188" s="168"/>
      <c r="F188" s="173"/>
      <c r="G188" s="173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</row>
    <row r="189" spans="1:19" s="115" customFormat="1" ht="39.950000000000003" customHeight="1" thickBot="1" x14ac:dyDescent="0.25">
      <c r="A189" s="171" t="s">
        <v>145</v>
      </c>
      <c r="B189" s="172"/>
      <c r="C189" s="172"/>
      <c r="D189" s="172"/>
      <c r="E189" s="172"/>
      <c r="F189" s="185"/>
      <c r="G189" s="185"/>
      <c r="H189" s="172"/>
      <c r="I189" s="172"/>
      <c r="J189" s="172"/>
      <c r="K189" s="172"/>
      <c r="L189" s="172"/>
      <c r="M189" s="172"/>
      <c r="N189" s="172"/>
      <c r="O189" s="172"/>
      <c r="P189" s="172"/>
      <c r="Q189" s="172"/>
      <c r="R189" s="172"/>
    </row>
    <row r="190" spans="1:19" s="111" customFormat="1" ht="39.950000000000003" customHeight="1" x14ac:dyDescent="0.2">
      <c r="A190" s="156">
        <f>+A186+1</f>
        <v>84</v>
      </c>
      <c r="B190" s="166" t="s">
        <v>379</v>
      </c>
      <c r="C190" s="152" t="s">
        <v>335</v>
      </c>
      <c r="D190" s="153" t="s">
        <v>380</v>
      </c>
      <c r="E190" s="153" t="s">
        <v>178</v>
      </c>
      <c r="F190" s="154" t="s">
        <v>623</v>
      </c>
      <c r="G190" s="154" t="s">
        <v>662</v>
      </c>
      <c r="H190" s="190">
        <v>150000</v>
      </c>
      <c r="I190" s="118">
        <f>H190*2.87%</f>
        <v>4305</v>
      </c>
      <c r="J190" s="118">
        <f>+H190*3.04%</f>
        <v>4560</v>
      </c>
      <c r="K190" s="118"/>
      <c r="L190" s="116">
        <f>+J190+I190+K190</f>
        <v>8865</v>
      </c>
      <c r="M190" s="116">
        <f>+H190-L190</f>
        <v>141135</v>
      </c>
      <c r="N190" s="116">
        <f>+IF(M190*12&lt;=416220.01,0,IF(M190*12&lt;=624329.01,(((M190*12-416220.01)*0.15)/12),IF((M190*12&lt;=867123.01),(31216+0.2*(M190*12-624329.01))/12,((79776+0.25*(M190*12-867123.01))/12))))-O190</f>
        <v>23866.687291666665</v>
      </c>
      <c r="O190" s="116"/>
      <c r="P190" s="116">
        <v>3656.21</v>
      </c>
      <c r="Q190" s="116">
        <f>+P190+N190+L190</f>
        <v>36387.897291666668</v>
      </c>
      <c r="R190" s="155">
        <f>+H190-Q190</f>
        <v>113612.10270833333</v>
      </c>
    </row>
    <row r="191" spans="1:19" s="115" customFormat="1" ht="39.950000000000003" customHeight="1" x14ac:dyDescent="0.2">
      <c r="A191" s="156">
        <f>+A190+1</f>
        <v>85</v>
      </c>
      <c r="B191" s="166" t="s">
        <v>417</v>
      </c>
      <c r="C191" s="152" t="s">
        <v>335</v>
      </c>
      <c r="D191" s="153" t="s">
        <v>312</v>
      </c>
      <c r="E191" s="153" t="s">
        <v>178</v>
      </c>
      <c r="F191" s="174" t="s">
        <v>604</v>
      </c>
      <c r="G191" s="174" t="s">
        <v>633</v>
      </c>
      <c r="H191" s="190">
        <v>60000</v>
      </c>
      <c r="I191" s="97">
        <f>H191*2.87%</f>
        <v>1722</v>
      </c>
      <c r="J191" s="118">
        <f t="shared" ref="J191:J194" si="83">+H191*3.04%</f>
        <v>1824</v>
      </c>
      <c r="K191" s="118"/>
      <c r="L191" s="116">
        <f>+J191+I191+K191</f>
        <v>3546</v>
      </c>
      <c r="M191" s="116">
        <f>+H191-L191</f>
        <v>56454</v>
      </c>
      <c r="N191" s="116">
        <f t="shared" ref="N191:N194" si="84">+IF(M191*12&lt;=416220.01,0,IF(M191*12&lt;=624329.01,(((M191*12-416220.01)*0.15)/12),IF((M191*12&lt;=867123.01),(31216+0.2*(M191*12-624329.01))/12,((79776+0.25*(M191*12-867123.01))/12))))-O191</f>
        <v>3486.6498333333329</v>
      </c>
      <c r="O191" s="116">
        <v>0</v>
      </c>
      <c r="P191" s="155">
        <v>25</v>
      </c>
      <c r="Q191" s="116">
        <f t="shared" ref="Q191:Q194" si="85">+P191+N191+L191</f>
        <v>7057.6498333333329</v>
      </c>
      <c r="R191" s="155">
        <f t="shared" ref="R191:R194" si="86">+H191-Q191</f>
        <v>52942.350166666671</v>
      </c>
    </row>
    <row r="192" spans="1:19" s="115" customFormat="1" ht="39.950000000000003" customHeight="1" x14ac:dyDescent="0.2">
      <c r="A192" s="156">
        <f>+A191+1</f>
        <v>86</v>
      </c>
      <c r="B192" s="166" t="s">
        <v>630</v>
      </c>
      <c r="C192" s="152" t="s">
        <v>334</v>
      </c>
      <c r="D192" s="153" t="s">
        <v>634</v>
      </c>
      <c r="E192" s="153" t="s">
        <v>178</v>
      </c>
      <c r="F192" s="174" t="s">
        <v>604</v>
      </c>
      <c r="G192" s="174" t="s">
        <v>633</v>
      </c>
      <c r="H192" s="190">
        <v>50000</v>
      </c>
      <c r="I192" s="97">
        <f>H192*2.87%</f>
        <v>1435</v>
      </c>
      <c r="J192" s="118">
        <f t="shared" si="83"/>
        <v>1520</v>
      </c>
      <c r="K192" s="118"/>
      <c r="L192" s="116">
        <f>+J192+I192+K192</f>
        <v>2955</v>
      </c>
      <c r="M192" s="116">
        <f>+H192-L192</f>
        <v>47045</v>
      </c>
      <c r="N192" s="116">
        <f t="shared" si="84"/>
        <v>1853.9998749999997</v>
      </c>
      <c r="O192" s="116"/>
      <c r="P192" s="155">
        <v>25</v>
      </c>
      <c r="Q192" s="116">
        <f t="shared" si="85"/>
        <v>4833.9998749999995</v>
      </c>
      <c r="R192" s="155">
        <f t="shared" si="86"/>
        <v>45166.000124999999</v>
      </c>
    </row>
    <row r="193" spans="1:19" s="115" customFormat="1" ht="39.950000000000003" customHeight="1" x14ac:dyDescent="0.2">
      <c r="A193" s="156">
        <f>+A192+1</f>
        <v>87</v>
      </c>
      <c r="B193" s="166" t="s">
        <v>492</v>
      </c>
      <c r="C193" s="152" t="s">
        <v>335</v>
      </c>
      <c r="D193" s="153" t="s">
        <v>641</v>
      </c>
      <c r="E193" s="153" t="s">
        <v>178</v>
      </c>
      <c r="F193" s="174" t="s">
        <v>603</v>
      </c>
      <c r="G193" s="174" t="s">
        <v>643</v>
      </c>
      <c r="H193" s="190">
        <v>95000</v>
      </c>
      <c r="I193" s="97">
        <f t="shared" ref="I193:I194" si="87">H193*2.87%</f>
        <v>2726.5</v>
      </c>
      <c r="J193" s="118">
        <f t="shared" si="83"/>
        <v>2888</v>
      </c>
      <c r="K193" s="118">
        <v>1919.72</v>
      </c>
      <c r="L193" s="116">
        <f t="shared" ref="L193:L194" si="88">+J193+I193+K193</f>
        <v>7534.22</v>
      </c>
      <c r="M193" s="116">
        <f t="shared" ref="M193:M194" si="89">+H193-L193</f>
        <v>87465.78</v>
      </c>
      <c r="N193" s="116">
        <f t="shared" si="84"/>
        <v>10449.382291666663</v>
      </c>
      <c r="O193" s="116"/>
      <c r="P193" s="155">
        <v>25</v>
      </c>
      <c r="Q193" s="116">
        <f t="shared" si="85"/>
        <v>18008.602291666662</v>
      </c>
      <c r="R193" s="155">
        <f t="shared" si="86"/>
        <v>76991.39770833333</v>
      </c>
    </row>
    <row r="194" spans="1:19" s="115" customFormat="1" ht="39.950000000000003" customHeight="1" x14ac:dyDescent="0.2">
      <c r="A194" s="156">
        <f>+A193+1</f>
        <v>88</v>
      </c>
      <c r="B194" s="166" t="s">
        <v>640</v>
      </c>
      <c r="C194" s="152" t="s">
        <v>334</v>
      </c>
      <c r="D194" s="153" t="s">
        <v>642</v>
      </c>
      <c r="E194" s="153" t="s">
        <v>178</v>
      </c>
      <c r="F194" s="174" t="s">
        <v>603</v>
      </c>
      <c r="G194" s="174" t="s">
        <v>643</v>
      </c>
      <c r="H194" s="190">
        <v>50000</v>
      </c>
      <c r="I194" s="97">
        <f t="shared" si="87"/>
        <v>1435</v>
      </c>
      <c r="J194" s="118">
        <f t="shared" si="83"/>
        <v>1520</v>
      </c>
      <c r="K194" s="118"/>
      <c r="L194" s="116">
        <f t="shared" si="88"/>
        <v>2955</v>
      </c>
      <c r="M194" s="116">
        <f t="shared" si="89"/>
        <v>47045</v>
      </c>
      <c r="N194" s="116">
        <f t="shared" si="84"/>
        <v>1853.9998749999997</v>
      </c>
      <c r="O194" s="116"/>
      <c r="P194" s="155">
        <v>25</v>
      </c>
      <c r="Q194" s="116">
        <f t="shared" si="85"/>
        <v>4833.9998749999995</v>
      </c>
      <c r="R194" s="155">
        <f t="shared" si="86"/>
        <v>45166.000124999999</v>
      </c>
    </row>
    <row r="195" spans="1:19" s="115" customFormat="1" ht="39.950000000000003" customHeight="1" x14ac:dyDescent="0.2">
      <c r="A195" s="366" t="s">
        <v>99</v>
      </c>
      <c r="B195" s="367"/>
      <c r="C195" s="100"/>
      <c r="D195" s="100"/>
      <c r="E195" s="100"/>
      <c r="F195" s="323"/>
      <c r="G195" s="323"/>
      <c r="H195" s="101">
        <f>SUM(H190:H194)</f>
        <v>405000</v>
      </c>
      <c r="I195" s="101">
        <f t="shared" ref="I195:R195" si="90">SUM(I190:I194)</f>
        <v>11623.5</v>
      </c>
      <c r="J195" s="101">
        <f t="shared" si="90"/>
        <v>12312</v>
      </c>
      <c r="K195" s="101">
        <f t="shared" si="90"/>
        <v>1919.72</v>
      </c>
      <c r="L195" s="101">
        <f t="shared" si="90"/>
        <v>25855.22</v>
      </c>
      <c r="M195" s="101">
        <f t="shared" si="90"/>
        <v>379144.78</v>
      </c>
      <c r="N195" s="101">
        <f t="shared" si="90"/>
        <v>41510.719166666662</v>
      </c>
      <c r="O195" s="101">
        <f t="shared" si="90"/>
        <v>0</v>
      </c>
      <c r="P195" s="101">
        <f t="shared" si="90"/>
        <v>3756.21</v>
      </c>
      <c r="Q195" s="101">
        <f t="shared" si="90"/>
        <v>71122.149166666655</v>
      </c>
      <c r="R195" s="101">
        <f t="shared" si="90"/>
        <v>333877.85083333333</v>
      </c>
      <c r="S195" s="344"/>
    </row>
    <row r="196" spans="1:19" s="111" customFormat="1" ht="39.950000000000003" customHeight="1" thickBot="1" x14ac:dyDescent="0.25">
      <c r="A196" s="168"/>
      <c r="B196" s="168"/>
      <c r="C196" s="168"/>
      <c r="D196" s="168"/>
      <c r="E196" s="168"/>
      <c r="F196" s="173"/>
      <c r="G196" s="173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</row>
    <row r="197" spans="1:19" s="184" customFormat="1" ht="39.950000000000003" customHeight="1" thickBot="1" x14ac:dyDescent="0.25">
      <c r="A197" s="171" t="s">
        <v>146</v>
      </c>
      <c r="B197" s="172"/>
      <c r="C197" s="172"/>
      <c r="D197" s="172"/>
      <c r="E197" s="172"/>
      <c r="F197" s="185"/>
      <c r="G197" s="185"/>
      <c r="H197" s="172"/>
      <c r="I197" s="172"/>
      <c r="J197" s="172"/>
      <c r="K197" s="172"/>
      <c r="L197" s="172"/>
      <c r="M197" s="172"/>
      <c r="N197" s="172"/>
      <c r="O197" s="172"/>
      <c r="P197" s="172"/>
      <c r="Q197" s="172"/>
      <c r="R197" s="172"/>
    </row>
    <row r="198" spans="1:19" s="181" customFormat="1" ht="39.950000000000003" customHeight="1" x14ac:dyDescent="0.2">
      <c r="A198" s="156">
        <f>+A194+1</f>
        <v>89</v>
      </c>
      <c r="B198" s="163" t="s">
        <v>350</v>
      </c>
      <c r="C198" s="152" t="s">
        <v>334</v>
      </c>
      <c r="D198" s="163" t="s">
        <v>345</v>
      </c>
      <c r="E198" s="153" t="s">
        <v>178</v>
      </c>
      <c r="F198" s="174" t="s">
        <v>603</v>
      </c>
      <c r="G198" s="174" t="s">
        <v>643</v>
      </c>
      <c r="H198" s="159">
        <v>70000</v>
      </c>
      <c r="I198" s="118">
        <f t="shared" ref="I198" si="91">H198*2.87%</f>
        <v>2009</v>
      </c>
      <c r="J198" s="118">
        <f>+H198*3.04%</f>
        <v>2128</v>
      </c>
      <c r="K198" s="118"/>
      <c r="L198" s="116">
        <f>+J198+I198+K198</f>
        <v>4137</v>
      </c>
      <c r="M198" s="116">
        <f>+H198-L198</f>
        <v>65863</v>
      </c>
      <c r="N198" s="116">
        <f t="shared" ref="N198:N199" si="92">+IF(M198*12&lt;=416220.01,0,IF(M198*12&lt;=624329.01,(((M198*12-416220.01)*0.15)/12),IF((M198*12&lt;=867123.01),(31216+0.2*(M198*12-624329.01))/12,((79776+0.25*(M198*12-867123.01))/12))))-O198</f>
        <v>5368.4498333333331</v>
      </c>
      <c r="O198" s="116"/>
      <c r="P198" s="159">
        <v>25</v>
      </c>
      <c r="Q198" s="116">
        <f>+P198+N198+L198</f>
        <v>9530.4498333333322</v>
      </c>
      <c r="R198" s="155">
        <f>+H198-Q198</f>
        <v>60469.550166666668</v>
      </c>
    </row>
    <row r="199" spans="1:19" s="111" customFormat="1" ht="39.950000000000003" customHeight="1" x14ac:dyDescent="0.2">
      <c r="A199" s="156">
        <f>+A198+1</f>
        <v>90</v>
      </c>
      <c r="B199" s="163" t="s">
        <v>184</v>
      </c>
      <c r="C199" s="152" t="s">
        <v>334</v>
      </c>
      <c r="D199" s="163" t="s">
        <v>183</v>
      </c>
      <c r="E199" s="153" t="s">
        <v>178</v>
      </c>
      <c r="F199" s="320" t="s">
        <v>617</v>
      </c>
      <c r="G199" s="320" t="s">
        <v>658</v>
      </c>
      <c r="H199" s="159">
        <v>70000</v>
      </c>
      <c r="I199" s="118">
        <f>H199*2.87%</f>
        <v>2009</v>
      </c>
      <c r="J199" s="118">
        <f t="shared" ref="J199" si="93">+H199*3.04%</f>
        <v>2128</v>
      </c>
      <c r="K199" s="118"/>
      <c r="L199" s="116">
        <f>+J199+I199+K199</f>
        <v>4137</v>
      </c>
      <c r="M199" s="116">
        <f>+H199-L199</f>
        <v>65863</v>
      </c>
      <c r="N199" s="116">
        <f t="shared" si="92"/>
        <v>5368.4498333333331</v>
      </c>
      <c r="O199" s="116"/>
      <c r="P199" s="155">
        <v>25</v>
      </c>
      <c r="Q199" s="116">
        <f>+P199+N199+L199</f>
        <v>9530.4498333333322</v>
      </c>
      <c r="R199" s="155">
        <f>+H199-Q199</f>
        <v>60469.550166666668</v>
      </c>
    </row>
    <row r="200" spans="1:19" s="181" customFormat="1" ht="39.950000000000003" customHeight="1" x14ac:dyDescent="0.2">
      <c r="A200" s="366" t="s">
        <v>99</v>
      </c>
      <c r="B200" s="367"/>
      <c r="C200" s="100"/>
      <c r="D200" s="100"/>
      <c r="E200" s="100"/>
      <c r="F200" s="323"/>
      <c r="G200" s="323"/>
      <c r="H200" s="101">
        <f>SUM(H198:H199)</f>
        <v>140000</v>
      </c>
      <c r="I200" s="101">
        <f t="shared" ref="I200:R200" si="94">SUM(I198:I199)</f>
        <v>4018</v>
      </c>
      <c r="J200" s="101">
        <f t="shared" si="94"/>
        <v>4256</v>
      </c>
      <c r="K200" s="101">
        <f t="shared" si="94"/>
        <v>0</v>
      </c>
      <c r="L200" s="101">
        <f t="shared" si="94"/>
        <v>8274</v>
      </c>
      <c r="M200" s="101">
        <f t="shared" si="94"/>
        <v>131726</v>
      </c>
      <c r="N200" s="101">
        <f t="shared" si="94"/>
        <v>10736.899666666666</v>
      </c>
      <c r="O200" s="101">
        <f t="shared" si="94"/>
        <v>0</v>
      </c>
      <c r="P200" s="101">
        <f t="shared" si="94"/>
        <v>50</v>
      </c>
      <c r="Q200" s="101">
        <f t="shared" si="94"/>
        <v>19060.899666666664</v>
      </c>
      <c r="R200" s="101">
        <f t="shared" si="94"/>
        <v>120939.10033333334</v>
      </c>
      <c r="S200" s="347"/>
    </row>
    <row r="201" spans="1:19" s="111" customFormat="1" ht="39.950000000000003" customHeight="1" thickBot="1" x14ac:dyDescent="0.25">
      <c r="A201" s="113"/>
      <c r="B201" s="144"/>
      <c r="C201" s="113"/>
      <c r="D201" s="192"/>
      <c r="E201" s="192"/>
      <c r="F201" s="334"/>
      <c r="G201" s="334"/>
    </row>
    <row r="202" spans="1:19" s="111" customFormat="1" ht="39.950000000000003" customHeight="1" thickBot="1" x14ac:dyDescent="0.25">
      <c r="A202" s="171" t="s">
        <v>251</v>
      </c>
      <c r="B202" s="172"/>
      <c r="C202" s="172"/>
      <c r="D202" s="172"/>
      <c r="E202" s="172"/>
      <c r="F202" s="185"/>
      <c r="G202" s="185"/>
      <c r="H202" s="172"/>
      <c r="I202" s="172"/>
      <c r="J202" s="172"/>
      <c r="K202" s="172"/>
      <c r="L202" s="172"/>
      <c r="M202" s="172"/>
      <c r="N202" s="172"/>
      <c r="O202" s="172"/>
      <c r="P202" s="172"/>
      <c r="Q202" s="172"/>
      <c r="R202" s="172"/>
    </row>
    <row r="203" spans="1:19" s="115" customFormat="1" ht="39.950000000000003" customHeight="1" x14ac:dyDescent="0.2">
      <c r="A203" s="152">
        <f>+A199+1</f>
        <v>91</v>
      </c>
      <c r="B203" s="157" t="s">
        <v>582</v>
      </c>
      <c r="C203" s="130" t="s">
        <v>334</v>
      </c>
      <c r="D203" s="311" t="s">
        <v>583</v>
      </c>
      <c r="E203" s="153" t="s">
        <v>178</v>
      </c>
      <c r="F203" s="320" t="s">
        <v>617</v>
      </c>
      <c r="G203" s="320" t="s">
        <v>658</v>
      </c>
      <c r="H203" s="116">
        <v>170000</v>
      </c>
      <c r="I203" s="116">
        <f>H203*2.87%</f>
        <v>4879</v>
      </c>
      <c r="J203" s="118">
        <f t="shared" ref="J203" si="95">+H203*3.04%</f>
        <v>5168</v>
      </c>
      <c r="K203" s="118"/>
      <c r="L203" s="116">
        <f>+J203+I203+K203</f>
        <v>10047</v>
      </c>
      <c r="M203" s="116">
        <f>+H203-L203</f>
        <v>159953</v>
      </c>
      <c r="N203" s="116">
        <v>28571.19</v>
      </c>
      <c r="O203" s="116"/>
      <c r="P203" s="155">
        <v>4525</v>
      </c>
      <c r="Q203" s="116">
        <f>+P203+N203+L203</f>
        <v>43143.19</v>
      </c>
      <c r="R203" s="155">
        <f>+H203-Q203</f>
        <v>126856.81</v>
      </c>
    </row>
    <row r="204" spans="1:19" s="115" customFormat="1" ht="39.950000000000003" customHeight="1" x14ac:dyDescent="0.2">
      <c r="A204" s="366" t="s">
        <v>99</v>
      </c>
      <c r="B204" s="367"/>
      <c r="C204" s="100"/>
      <c r="D204" s="100"/>
      <c r="E204" s="182"/>
      <c r="F204" s="324"/>
      <c r="G204" s="325"/>
      <c r="H204" s="101">
        <f t="shared" ref="H204:R204" si="96">+SUM(H203:H203)</f>
        <v>170000</v>
      </c>
      <c r="I204" s="101">
        <f t="shared" si="96"/>
        <v>4879</v>
      </c>
      <c r="J204" s="101">
        <f t="shared" si="96"/>
        <v>5168</v>
      </c>
      <c r="K204" s="101">
        <f t="shared" si="96"/>
        <v>0</v>
      </c>
      <c r="L204" s="101">
        <f t="shared" si="96"/>
        <v>10047</v>
      </c>
      <c r="M204" s="101">
        <f t="shared" si="96"/>
        <v>159953</v>
      </c>
      <c r="N204" s="101">
        <f t="shared" si="96"/>
        <v>28571.19</v>
      </c>
      <c r="O204" s="101">
        <f t="shared" si="96"/>
        <v>0</v>
      </c>
      <c r="P204" s="101">
        <f t="shared" si="96"/>
        <v>4525</v>
      </c>
      <c r="Q204" s="101">
        <f t="shared" si="96"/>
        <v>43143.19</v>
      </c>
      <c r="R204" s="101">
        <f t="shared" si="96"/>
        <v>126856.81</v>
      </c>
      <c r="S204" s="344"/>
    </row>
    <row r="205" spans="1:19" s="184" customFormat="1" ht="39.950000000000003" customHeight="1" thickBot="1" x14ac:dyDescent="0.25">
      <c r="A205" s="173"/>
      <c r="B205" s="173"/>
      <c r="C205" s="173"/>
      <c r="D205" s="173"/>
      <c r="E205" s="173"/>
      <c r="F205" s="173"/>
      <c r="G205" s="17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</row>
    <row r="206" spans="1:19" s="111" customFormat="1" ht="39.950000000000003" customHeight="1" thickBot="1" x14ac:dyDescent="0.25">
      <c r="A206" s="171" t="s">
        <v>313</v>
      </c>
      <c r="B206" s="172"/>
      <c r="C206" s="172"/>
      <c r="D206" s="172"/>
      <c r="E206" s="172"/>
      <c r="F206" s="185"/>
      <c r="G206" s="185"/>
      <c r="H206" s="172"/>
      <c r="I206" s="172"/>
      <c r="J206" s="172"/>
      <c r="K206" s="185"/>
      <c r="L206" s="172"/>
      <c r="M206" s="172"/>
      <c r="N206" s="172"/>
      <c r="O206" s="172"/>
      <c r="P206" s="172"/>
      <c r="Q206" s="172"/>
      <c r="R206" s="172"/>
    </row>
    <row r="207" spans="1:19" s="111" customFormat="1" ht="39.950000000000003" customHeight="1" x14ac:dyDescent="0.2">
      <c r="A207" s="156">
        <f>+A203+1</f>
        <v>92</v>
      </c>
      <c r="B207" s="163" t="s">
        <v>65</v>
      </c>
      <c r="C207" s="152" t="s">
        <v>334</v>
      </c>
      <c r="D207" s="153" t="s">
        <v>77</v>
      </c>
      <c r="E207" s="153" t="s">
        <v>178</v>
      </c>
      <c r="F207" s="174" t="s">
        <v>603</v>
      </c>
      <c r="G207" s="174" t="s">
        <v>643</v>
      </c>
      <c r="H207" s="118">
        <v>95000</v>
      </c>
      <c r="I207" s="97">
        <f t="shared" ref="I207" si="97">H207*2.87%</f>
        <v>2726.5</v>
      </c>
      <c r="J207" s="97">
        <f t="shared" ref="J207" si="98">+H207*3.04%</f>
        <v>2888</v>
      </c>
      <c r="K207" s="97"/>
      <c r="L207" s="118">
        <f t="shared" ref="L207:L211" si="99">+J207+I207+K207</f>
        <v>5614.5</v>
      </c>
      <c r="M207" s="118">
        <f t="shared" ref="M207:M211" si="100">+H207-L207</f>
        <v>89385.5</v>
      </c>
      <c r="N207" s="116">
        <f t="shared" ref="N207:N212" si="101">+IF(M207*12&lt;=416220.01,0,IF(M207*12&lt;=624329.01,(((M207*12-416220.01)*0.15)/12),IF((M207*12&lt;=867123.01),(31216+0.2*(M207*12-624329.01))/12,((79776+0.25*(M207*12-867123.01))/12))))-O207</f>
        <v>10929.312291666667</v>
      </c>
      <c r="O207" s="118"/>
      <c r="P207" s="159">
        <v>2524.7600000000002</v>
      </c>
      <c r="Q207" s="116">
        <f t="shared" ref="Q207:Q211" si="102">+P207+N207+L207</f>
        <v>19068.572291666667</v>
      </c>
      <c r="R207" s="155">
        <f t="shared" ref="R207:R211" si="103">+H207-Q207</f>
        <v>75931.427708333329</v>
      </c>
    </row>
    <row r="208" spans="1:19" s="184" customFormat="1" ht="39.950000000000003" customHeight="1" x14ac:dyDescent="0.2">
      <c r="A208" s="156">
        <f t="shared" ref="A208" si="104">+A207+1</f>
        <v>93</v>
      </c>
      <c r="B208" s="163" t="s">
        <v>473</v>
      </c>
      <c r="C208" s="152" t="s">
        <v>334</v>
      </c>
      <c r="D208" s="153" t="s">
        <v>62</v>
      </c>
      <c r="E208" s="153" t="s">
        <v>178</v>
      </c>
      <c r="F208" s="320" t="s">
        <v>617</v>
      </c>
      <c r="G208" s="320" t="s">
        <v>658</v>
      </c>
      <c r="H208" s="118">
        <v>95000</v>
      </c>
      <c r="I208" s="97">
        <f>H208*2.87%</f>
        <v>2726.5</v>
      </c>
      <c r="J208" s="97">
        <f>+H208*3.04%</f>
        <v>2888</v>
      </c>
      <c r="K208" s="97"/>
      <c r="L208" s="118">
        <f>+J208+I208+K208</f>
        <v>5614.5</v>
      </c>
      <c r="M208" s="118">
        <f>+H208-L208</f>
        <v>89385.5</v>
      </c>
      <c r="N208" s="116">
        <f t="shared" si="101"/>
        <v>10929.312291666667</v>
      </c>
      <c r="O208" s="118"/>
      <c r="P208" s="159">
        <v>225</v>
      </c>
      <c r="Q208" s="116">
        <f t="shared" si="102"/>
        <v>16768.812291666669</v>
      </c>
      <c r="R208" s="162">
        <f t="shared" si="103"/>
        <v>78231.187708333338</v>
      </c>
    </row>
    <row r="209" spans="1:19" s="184" customFormat="1" ht="39.950000000000003" customHeight="1" x14ac:dyDescent="0.2">
      <c r="A209" s="156">
        <f>+A208+1</f>
        <v>94</v>
      </c>
      <c r="B209" s="163" t="s">
        <v>418</v>
      </c>
      <c r="C209" s="152" t="s">
        <v>334</v>
      </c>
      <c r="D209" s="153" t="s">
        <v>62</v>
      </c>
      <c r="E209" s="153" t="s">
        <v>178</v>
      </c>
      <c r="F209" s="174" t="s">
        <v>604</v>
      </c>
      <c r="G209" s="174" t="s">
        <v>633</v>
      </c>
      <c r="H209" s="118">
        <v>80000</v>
      </c>
      <c r="I209" s="97">
        <f t="shared" ref="I209" si="105">H209*2.87%</f>
        <v>2296</v>
      </c>
      <c r="J209" s="97">
        <f t="shared" ref="J209" si="106">+H209*3.04%</f>
        <v>2432</v>
      </c>
      <c r="K209" s="97">
        <f>1919.78*2</f>
        <v>3839.56</v>
      </c>
      <c r="L209" s="118">
        <f t="shared" si="99"/>
        <v>8567.56</v>
      </c>
      <c r="M209" s="118">
        <f t="shared" si="100"/>
        <v>71432.44</v>
      </c>
      <c r="N209" s="116">
        <f t="shared" si="101"/>
        <v>6482.3378333333339</v>
      </c>
      <c r="O209" s="118">
        <v>0</v>
      </c>
      <c r="P209" s="159">
        <f>100+125</f>
        <v>225</v>
      </c>
      <c r="Q209" s="116">
        <f t="shared" si="102"/>
        <v>15274.897833333333</v>
      </c>
      <c r="R209" s="155">
        <f t="shared" si="103"/>
        <v>64725.102166666664</v>
      </c>
    </row>
    <row r="210" spans="1:19" s="111" customFormat="1" ht="39.950000000000003" customHeight="1" x14ac:dyDescent="0.2">
      <c r="A210" s="156">
        <f t="shared" ref="A210" si="107">+A209+1</f>
        <v>95</v>
      </c>
      <c r="B210" s="109" t="s">
        <v>346</v>
      </c>
      <c r="C210" s="108" t="s">
        <v>334</v>
      </c>
      <c r="D210" s="104" t="s">
        <v>480</v>
      </c>
      <c r="E210" s="107" t="s">
        <v>178</v>
      </c>
      <c r="F210" s="102" t="s">
        <v>614</v>
      </c>
      <c r="G210" s="102" t="s">
        <v>645</v>
      </c>
      <c r="H210" s="161">
        <v>80000</v>
      </c>
      <c r="I210" s="97">
        <f>H210*2.87%</f>
        <v>2296</v>
      </c>
      <c r="J210" s="97">
        <f>+H210*3.04%</f>
        <v>2432</v>
      </c>
      <c r="K210" s="97">
        <v>1919.78</v>
      </c>
      <c r="L210" s="118">
        <f t="shared" si="99"/>
        <v>6647.78</v>
      </c>
      <c r="M210" s="118">
        <f t="shared" si="100"/>
        <v>73352.22</v>
      </c>
      <c r="N210" s="116">
        <f t="shared" si="101"/>
        <v>6920.9922916666665</v>
      </c>
      <c r="O210" s="118">
        <v>0</v>
      </c>
      <c r="P210" s="159">
        <f>100+125</f>
        <v>225</v>
      </c>
      <c r="Q210" s="116">
        <f t="shared" si="102"/>
        <v>13793.772291666666</v>
      </c>
      <c r="R210" s="162">
        <f t="shared" si="103"/>
        <v>66206.227708333332</v>
      </c>
    </row>
    <row r="211" spans="1:19" s="111" customFormat="1" ht="39.950000000000003" customHeight="1" x14ac:dyDescent="0.2">
      <c r="A211" s="156">
        <f>+A210+1</f>
        <v>96</v>
      </c>
      <c r="B211" s="109" t="s">
        <v>602</v>
      </c>
      <c r="C211" s="108" t="s">
        <v>334</v>
      </c>
      <c r="D211" s="104" t="s">
        <v>611</v>
      </c>
      <c r="E211" s="107" t="s">
        <v>178</v>
      </c>
      <c r="F211" s="174" t="s">
        <v>603</v>
      </c>
      <c r="G211" s="174" t="s">
        <v>643</v>
      </c>
      <c r="H211" s="161">
        <v>50000</v>
      </c>
      <c r="I211" s="97">
        <f>H211*2.87%</f>
        <v>1435</v>
      </c>
      <c r="J211" s="97">
        <f>+H211*3.04%</f>
        <v>1520</v>
      </c>
      <c r="K211" s="97"/>
      <c r="L211" s="118">
        <f t="shared" si="99"/>
        <v>2955</v>
      </c>
      <c r="M211" s="118">
        <f t="shared" si="100"/>
        <v>47045</v>
      </c>
      <c r="N211" s="116">
        <f t="shared" si="101"/>
        <v>1853.9998749999997</v>
      </c>
      <c r="O211" s="118"/>
      <c r="P211" s="159">
        <v>25</v>
      </c>
      <c r="Q211" s="116">
        <f t="shared" si="102"/>
        <v>4833.9998749999995</v>
      </c>
      <c r="R211" s="162">
        <f t="shared" si="103"/>
        <v>45166.000124999999</v>
      </c>
    </row>
    <row r="212" spans="1:19" s="111" customFormat="1" ht="39.950000000000003" customHeight="1" x14ac:dyDescent="0.2">
      <c r="A212" s="156">
        <f>+A211+1</f>
        <v>97</v>
      </c>
      <c r="B212" s="163" t="s">
        <v>450</v>
      </c>
      <c r="C212" s="152" t="s">
        <v>334</v>
      </c>
      <c r="D212" s="104" t="s">
        <v>480</v>
      </c>
      <c r="E212" s="107" t="s">
        <v>178</v>
      </c>
      <c r="F212" s="174" t="s">
        <v>603</v>
      </c>
      <c r="G212" s="174" t="s">
        <v>643</v>
      </c>
      <c r="H212" s="161">
        <v>80000</v>
      </c>
      <c r="I212" s="105">
        <f>H212*2.87%</f>
        <v>2296</v>
      </c>
      <c r="J212" s="105">
        <f>+H212*3.04%</f>
        <v>2432</v>
      </c>
      <c r="K212" s="105"/>
      <c r="L212" s="116">
        <f>+J212+I212+K212</f>
        <v>4728</v>
      </c>
      <c r="M212" s="116">
        <f>+H212-L212</f>
        <v>75272</v>
      </c>
      <c r="N212" s="116">
        <f t="shared" si="101"/>
        <v>7400.9372916666662</v>
      </c>
      <c r="O212" s="116"/>
      <c r="P212" s="97">
        <v>225</v>
      </c>
      <c r="Q212" s="116">
        <f>+P212+N212+L212</f>
        <v>12353.937291666665</v>
      </c>
      <c r="R212" s="162">
        <f>H212-Q212</f>
        <v>67646.062708333338</v>
      </c>
    </row>
    <row r="213" spans="1:19" s="111" customFormat="1" ht="39.950000000000003" customHeight="1" x14ac:dyDescent="0.2">
      <c r="A213" s="366" t="s">
        <v>99</v>
      </c>
      <c r="B213" s="367"/>
      <c r="C213" s="100"/>
      <c r="D213" s="100"/>
      <c r="E213" s="100"/>
      <c r="F213" s="323"/>
      <c r="G213" s="335"/>
      <c r="H213" s="101">
        <f t="shared" ref="H213:R213" si="108">SUM(H207:H212)</f>
        <v>480000</v>
      </c>
      <c r="I213" s="101">
        <f t="shared" si="108"/>
        <v>13776</v>
      </c>
      <c r="J213" s="101">
        <f t="shared" si="108"/>
        <v>14592</v>
      </c>
      <c r="K213" s="101">
        <f t="shared" si="108"/>
        <v>5759.34</v>
      </c>
      <c r="L213" s="101">
        <f t="shared" si="108"/>
        <v>34127.339999999997</v>
      </c>
      <c r="M213" s="101">
        <f t="shared" si="108"/>
        <v>445872.66000000003</v>
      </c>
      <c r="N213" s="101">
        <f t="shared" si="108"/>
        <v>44516.891875000008</v>
      </c>
      <c r="O213" s="101">
        <f t="shared" si="108"/>
        <v>0</v>
      </c>
      <c r="P213" s="101">
        <f t="shared" si="108"/>
        <v>3449.76</v>
      </c>
      <c r="Q213" s="101">
        <f t="shared" si="108"/>
        <v>82093.991874999992</v>
      </c>
      <c r="R213" s="101">
        <f t="shared" si="108"/>
        <v>397906.00812500005</v>
      </c>
      <c r="S213" s="344"/>
    </row>
    <row r="214" spans="1:19" s="111" customFormat="1" ht="39.950000000000003" customHeight="1" thickBot="1" x14ac:dyDescent="0.25">
      <c r="A214" s="168"/>
      <c r="B214" s="168"/>
      <c r="C214" s="168"/>
      <c r="D214" s="168"/>
      <c r="E214" s="168"/>
      <c r="F214" s="173"/>
      <c r="G214" s="173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</row>
    <row r="215" spans="1:19" s="111" customFormat="1" ht="39.950000000000003" customHeight="1" thickBot="1" x14ac:dyDescent="0.25">
      <c r="A215" s="171" t="s">
        <v>255</v>
      </c>
      <c r="B215" s="172"/>
      <c r="C215" s="172"/>
      <c r="D215" s="172"/>
      <c r="E215" s="172"/>
      <c r="F215" s="185"/>
      <c r="G215" s="185"/>
      <c r="H215" s="172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</row>
    <row r="216" spans="1:19" s="111" customFormat="1" ht="39.950000000000003" customHeight="1" x14ac:dyDescent="0.2">
      <c r="A216" s="152">
        <f>+A212+1</f>
        <v>98</v>
      </c>
      <c r="B216" s="163" t="s">
        <v>552</v>
      </c>
      <c r="C216" s="152" t="s">
        <v>334</v>
      </c>
      <c r="D216" s="153" t="s">
        <v>355</v>
      </c>
      <c r="E216" s="153" t="s">
        <v>178</v>
      </c>
      <c r="F216" s="174" t="s">
        <v>604</v>
      </c>
      <c r="G216" s="174" t="s">
        <v>633</v>
      </c>
      <c r="H216" s="116">
        <v>145000</v>
      </c>
      <c r="I216" s="116">
        <f>H216*2.87%</f>
        <v>4161.5</v>
      </c>
      <c r="J216" s="116">
        <f>+H216*3.04%</f>
        <v>4408</v>
      </c>
      <c r="K216" s="116">
        <v>1919.78</v>
      </c>
      <c r="L216" s="116">
        <f t="shared" ref="L216:L218" si="109">+J216+I216+K216</f>
        <v>10489.28</v>
      </c>
      <c r="M216" s="116">
        <f t="shared" ref="M216:M218" si="110">+H216-L216</f>
        <v>134510.72</v>
      </c>
      <c r="N216" s="116">
        <f>+IF(M216*12&lt;=416220.01,0,IF(M216*12&lt;=624329.01,(((M216*12-416220.01)*0.15)/12),IF((M216*12&lt;=867123.01),(31216+0.2*(M216*12-624329.01))/12,((79776+0.25*(M216*12-867123.01))/12))))-O216</f>
        <v>22210.617291666669</v>
      </c>
      <c r="O216" s="116"/>
      <c r="P216" s="159">
        <v>5090.29</v>
      </c>
      <c r="Q216" s="116">
        <f>+P216+N216+L216</f>
        <v>37790.187291666669</v>
      </c>
      <c r="R216" s="159">
        <f>+H216-Q216</f>
        <v>107209.81270833334</v>
      </c>
    </row>
    <row r="217" spans="1:19" s="111" customFormat="1" ht="39.950000000000003" customHeight="1" x14ac:dyDescent="0.2">
      <c r="A217" s="152">
        <f>+A216+1</f>
        <v>99</v>
      </c>
      <c r="B217" s="109" t="s">
        <v>392</v>
      </c>
      <c r="C217" s="108" t="s">
        <v>334</v>
      </c>
      <c r="D217" s="109" t="s">
        <v>389</v>
      </c>
      <c r="E217" s="107" t="s">
        <v>178</v>
      </c>
      <c r="F217" s="174" t="s">
        <v>603</v>
      </c>
      <c r="G217" s="174" t="s">
        <v>643</v>
      </c>
      <c r="H217" s="161">
        <v>110000</v>
      </c>
      <c r="I217" s="118">
        <f>H217*2.87%</f>
        <v>3157</v>
      </c>
      <c r="J217" s="118">
        <f>+H217*3.04%</f>
        <v>3344</v>
      </c>
      <c r="K217" s="118">
        <f>1919.78*3</f>
        <v>5759.34</v>
      </c>
      <c r="L217" s="118">
        <f t="shared" si="109"/>
        <v>12260.34</v>
      </c>
      <c r="M217" s="118">
        <f t="shared" si="110"/>
        <v>97739.66</v>
      </c>
      <c r="N217" s="116">
        <f t="shared" ref="N217:N218" si="111">+IF(M217*12&lt;=416220.01,0,IF(M217*12&lt;=624329.01,(((M217*12-416220.01)*0.15)/12),IF((M217*12&lt;=867123.01),(31216+0.2*(M217*12-624329.01))/12,((79776+0.25*(M217*12-867123.01))/12))))-O217</f>
        <v>13017.852291666664</v>
      </c>
      <c r="O217" s="118"/>
      <c r="P217" s="155">
        <v>7344.52</v>
      </c>
      <c r="Q217" s="116">
        <f>+P217+N217+L217</f>
        <v>32622.712291666667</v>
      </c>
      <c r="R217" s="155">
        <f>+H217-Q217</f>
        <v>77377.28770833333</v>
      </c>
    </row>
    <row r="218" spans="1:19" s="111" customFormat="1" ht="39.950000000000003" customHeight="1" x14ac:dyDescent="0.2">
      <c r="A218" s="156">
        <f>+A217+1</f>
        <v>100</v>
      </c>
      <c r="B218" s="154" t="s">
        <v>166</v>
      </c>
      <c r="C218" s="156" t="s">
        <v>334</v>
      </c>
      <c r="D218" s="174" t="s">
        <v>314</v>
      </c>
      <c r="E218" s="174" t="s">
        <v>178</v>
      </c>
      <c r="F218" s="174" t="s">
        <v>624</v>
      </c>
      <c r="G218" s="174" t="s">
        <v>656</v>
      </c>
      <c r="H218" s="118">
        <v>55000</v>
      </c>
      <c r="I218" s="118">
        <f>H218*2.87%</f>
        <v>1578.5</v>
      </c>
      <c r="J218" s="118">
        <f>+H218*3.04%</f>
        <v>1672</v>
      </c>
      <c r="K218" s="118">
        <v>0</v>
      </c>
      <c r="L218" s="118">
        <f t="shared" si="109"/>
        <v>3250.5</v>
      </c>
      <c r="M218" s="118">
        <f t="shared" si="110"/>
        <v>51749.5</v>
      </c>
      <c r="N218" s="116">
        <f t="shared" si="111"/>
        <v>2559.6748749999997</v>
      </c>
      <c r="O218" s="118"/>
      <c r="P218" s="159">
        <v>5290.29</v>
      </c>
      <c r="Q218" s="116">
        <f>+P218+N218+L218</f>
        <v>11100.464875</v>
      </c>
      <c r="R218" s="155">
        <f>+H218-Q218</f>
        <v>43899.535125000002</v>
      </c>
    </row>
    <row r="219" spans="1:19" s="111" customFormat="1" ht="39.950000000000003" customHeight="1" x14ac:dyDescent="0.2">
      <c r="A219" s="366" t="s">
        <v>99</v>
      </c>
      <c r="B219" s="367"/>
      <c r="C219" s="182"/>
      <c r="D219" s="182"/>
      <c r="E219" s="182"/>
      <c r="F219" s="324"/>
      <c r="G219" s="324"/>
      <c r="H219" s="101">
        <f t="shared" ref="H219:R219" si="112">SUM(H216:H218)</f>
        <v>310000</v>
      </c>
      <c r="I219" s="101">
        <f t="shared" si="112"/>
        <v>8897</v>
      </c>
      <c r="J219" s="101">
        <f t="shared" si="112"/>
        <v>9424</v>
      </c>
      <c r="K219" s="101">
        <f t="shared" si="112"/>
        <v>7679.12</v>
      </c>
      <c r="L219" s="101">
        <f t="shared" si="112"/>
        <v>26000.120000000003</v>
      </c>
      <c r="M219" s="101">
        <f t="shared" si="112"/>
        <v>283999.88</v>
      </c>
      <c r="N219" s="101">
        <f t="shared" si="112"/>
        <v>37788.144458333329</v>
      </c>
      <c r="O219" s="101">
        <f t="shared" si="112"/>
        <v>0</v>
      </c>
      <c r="P219" s="101">
        <f t="shared" si="112"/>
        <v>17725.100000000002</v>
      </c>
      <c r="Q219" s="101">
        <f t="shared" si="112"/>
        <v>81513.364458333337</v>
      </c>
      <c r="R219" s="101">
        <f t="shared" si="112"/>
        <v>228486.63554166665</v>
      </c>
      <c r="S219" s="344"/>
    </row>
    <row r="220" spans="1:19" s="111" customFormat="1" ht="39.950000000000003" customHeight="1" thickBot="1" x14ac:dyDescent="0.25">
      <c r="A220" s="168"/>
      <c r="B220" s="168"/>
      <c r="C220" s="168"/>
      <c r="D220" s="168"/>
      <c r="E220" s="168"/>
      <c r="F220" s="173"/>
      <c r="G220" s="173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</row>
    <row r="221" spans="1:19" s="115" customFormat="1" ht="39.950000000000003" customHeight="1" thickBot="1" x14ac:dyDescent="0.25">
      <c r="A221" s="171" t="s">
        <v>191</v>
      </c>
      <c r="B221" s="172"/>
      <c r="C221" s="172"/>
      <c r="D221" s="172"/>
      <c r="E221" s="172"/>
      <c r="F221" s="185"/>
      <c r="G221" s="185"/>
      <c r="H221" s="172"/>
      <c r="I221" s="172"/>
      <c r="J221" s="172"/>
      <c r="K221" s="172"/>
      <c r="L221" s="172"/>
      <c r="M221" s="172"/>
      <c r="N221" s="172"/>
      <c r="O221" s="172"/>
      <c r="P221" s="172"/>
      <c r="Q221" s="172"/>
      <c r="R221" s="172"/>
    </row>
    <row r="222" spans="1:19" s="111" customFormat="1" ht="39.950000000000003" customHeight="1" x14ac:dyDescent="0.2">
      <c r="A222" s="152">
        <f>+A218+1</f>
        <v>101</v>
      </c>
      <c r="B222" s="109" t="s">
        <v>186</v>
      </c>
      <c r="C222" s="108" t="s">
        <v>334</v>
      </c>
      <c r="D222" s="109" t="s">
        <v>609</v>
      </c>
      <c r="E222" s="107" t="s">
        <v>178</v>
      </c>
      <c r="F222" s="320" t="s">
        <v>617</v>
      </c>
      <c r="G222" s="320" t="s">
        <v>658</v>
      </c>
      <c r="H222" s="164">
        <v>95000</v>
      </c>
      <c r="I222" s="97">
        <f t="shared" ref="I222" si="113">H222*2.87%</f>
        <v>2726.5</v>
      </c>
      <c r="J222" s="97">
        <f t="shared" ref="J222" si="114">+H222*3.04%</f>
        <v>2888</v>
      </c>
      <c r="K222" s="97"/>
      <c r="L222" s="118">
        <f>+J222+I222+K222</f>
        <v>5614.5</v>
      </c>
      <c r="M222" s="118">
        <f>+H222-L222</f>
        <v>89385.5</v>
      </c>
      <c r="N222" s="116">
        <f>+IF(M222*12&lt;=416220.01,0,IF(M222*12&lt;=624329.01,(((M222*12-416220.01)*0.15)/12),IF((M222*12&lt;=867123.01),(31216+0.2*(M222*12-624329.01))/12,((79776+0.25*(M222*12-867123.01))/12))))-O222</f>
        <v>10929.312291666667</v>
      </c>
      <c r="O222" s="118"/>
      <c r="P222" s="155">
        <v>3330.29</v>
      </c>
      <c r="Q222" s="116">
        <f>+P222+N222+L222</f>
        <v>19874.102291666666</v>
      </c>
      <c r="R222" s="117">
        <f>+H222-Q222</f>
        <v>75125.89770833333</v>
      </c>
    </row>
    <row r="223" spans="1:19" ht="39.950000000000003" customHeight="1" x14ac:dyDescent="0.2">
      <c r="A223" s="156">
        <f>+A222+1</f>
        <v>102</v>
      </c>
      <c r="B223" s="163" t="s">
        <v>631</v>
      </c>
      <c r="C223" s="152" t="s">
        <v>334</v>
      </c>
      <c r="D223" s="174" t="s">
        <v>584</v>
      </c>
      <c r="E223" s="153" t="s">
        <v>178</v>
      </c>
      <c r="F223" s="320" t="s">
        <v>617</v>
      </c>
      <c r="G223" s="320" t="s">
        <v>658</v>
      </c>
      <c r="H223" s="161">
        <v>50000</v>
      </c>
      <c r="I223" s="105">
        <f>H223*2.87%</f>
        <v>1435</v>
      </c>
      <c r="J223" s="105">
        <f>+H223*3.04%</f>
        <v>1520</v>
      </c>
      <c r="K223" s="105"/>
      <c r="L223" s="116">
        <f>+J223+I223+K223</f>
        <v>2955</v>
      </c>
      <c r="M223" s="116">
        <f>+H223-L223</f>
        <v>47045</v>
      </c>
      <c r="N223" s="116">
        <v>1124.76</v>
      </c>
      <c r="O223" s="116"/>
      <c r="P223" s="155">
        <v>225</v>
      </c>
      <c r="Q223" s="116">
        <f>+P223+N223+L223</f>
        <v>4304.76</v>
      </c>
      <c r="R223" s="162">
        <f>H223-Q223</f>
        <v>45695.24</v>
      </c>
    </row>
    <row r="224" spans="1:19" s="115" customFormat="1" ht="39.950000000000003" customHeight="1" x14ac:dyDescent="0.2">
      <c r="A224" s="156">
        <v>101</v>
      </c>
      <c r="B224" s="163" t="s">
        <v>521</v>
      </c>
      <c r="C224" s="152" t="s">
        <v>334</v>
      </c>
      <c r="D224" s="163" t="s">
        <v>314</v>
      </c>
      <c r="E224" s="153" t="s">
        <v>178</v>
      </c>
      <c r="F224" s="320" t="s">
        <v>617</v>
      </c>
      <c r="G224" s="320" t="s">
        <v>658</v>
      </c>
      <c r="H224" s="161">
        <v>55000</v>
      </c>
      <c r="I224" s="105">
        <f>H224*2.87%</f>
        <v>1578.5</v>
      </c>
      <c r="J224" s="105">
        <f>+H224*3.04%</f>
        <v>1672</v>
      </c>
      <c r="K224" s="105"/>
      <c r="L224" s="116">
        <f>+J224+I224+K224</f>
        <v>3250.5</v>
      </c>
      <c r="M224" s="116">
        <f>+H224-L224</f>
        <v>51749.5</v>
      </c>
      <c r="N224" s="116">
        <v>2312.56</v>
      </c>
      <c r="O224" s="116"/>
      <c r="P224" s="97">
        <v>225</v>
      </c>
      <c r="Q224" s="116">
        <f>+P224+N224+L224</f>
        <v>5788.0599999999995</v>
      </c>
      <c r="R224" s="162">
        <f>H224-Q224</f>
        <v>49211.94</v>
      </c>
    </row>
    <row r="225" spans="1:19" s="115" customFormat="1" ht="39.950000000000003" customHeight="1" x14ac:dyDescent="0.2">
      <c r="A225" s="103">
        <f>+A224+1</f>
        <v>102</v>
      </c>
      <c r="B225" s="109" t="s">
        <v>490</v>
      </c>
      <c r="C225" s="108" t="s">
        <v>334</v>
      </c>
      <c r="D225" s="107" t="s">
        <v>347</v>
      </c>
      <c r="E225" s="153" t="s">
        <v>178</v>
      </c>
      <c r="F225" s="174" t="s">
        <v>624</v>
      </c>
      <c r="G225" s="174" t="s">
        <v>656</v>
      </c>
      <c r="H225" s="97">
        <v>80000</v>
      </c>
      <c r="I225" s="97">
        <f>H225*2.87%</f>
        <v>2296</v>
      </c>
      <c r="J225" s="97">
        <f>+H225*3.04%</f>
        <v>2432</v>
      </c>
      <c r="K225" s="97">
        <v>1919.78</v>
      </c>
      <c r="L225" s="116">
        <f>+J225+I225+K225</f>
        <v>6647.78</v>
      </c>
      <c r="M225" s="116">
        <f>+H225-L225</f>
        <v>73352.22</v>
      </c>
      <c r="N225" s="116">
        <f t="shared" ref="N225" si="115">+IF(M225*12&lt;=416220.01,0,IF(M225*12&lt;=624329.01,(((M225*12-416220.01)*0.15)/12),IF((M225*12&lt;=867123.01),(31216+0.2*(M225*12-624329.01))/12,((79776+0.25*(M225*12-867123.01))/12))))-O225</f>
        <v>6920.9922916666665</v>
      </c>
      <c r="O225" s="116"/>
      <c r="P225" s="159">
        <v>14130.33</v>
      </c>
      <c r="Q225" s="116">
        <f>+P225+N225+L225</f>
        <v>27699.102291666666</v>
      </c>
      <c r="R225" s="162">
        <f>+H225-Q225</f>
        <v>52300.89770833333</v>
      </c>
    </row>
    <row r="226" spans="1:19" ht="39.950000000000003" customHeight="1" x14ac:dyDescent="0.2">
      <c r="A226" s="366" t="s">
        <v>99</v>
      </c>
      <c r="B226" s="367"/>
      <c r="C226" s="182"/>
      <c r="D226" s="105"/>
      <c r="E226" s="182"/>
      <c r="F226" s="324"/>
      <c r="G226" s="325"/>
      <c r="H226" s="101">
        <f>SUM(H222:H225)</f>
        <v>280000</v>
      </c>
      <c r="I226" s="101">
        <f t="shared" ref="I226:R226" si="116">SUM(I222:I225)</f>
        <v>8036</v>
      </c>
      <c r="J226" s="101">
        <f t="shared" si="116"/>
        <v>8512</v>
      </c>
      <c r="K226" s="101">
        <f t="shared" si="116"/>
        <v>1919.78</v>
      </c>
      <c r="L226" s="101">
        <f t="shared" si="116"/>
        <v>18467.78</v>
      </c>
      <c r="M226" s="101">
        <f t="shared" si="116"/>
        <v>261532.22</v>
      </c>
      <c r="N226" s="101">
        <f t="shared" si="116"/>
        <v>21287.624583333334</v>
      </c>
      <c r="O226" s="101">
        <f t="shared" si="116"/>
        <v>0</v>
      </c>
      <c r="P226" s="101">
        <f t="shared" si="116"/>
        <v>17910.62</v>
      </c>
      <c r="Q226" s="101">
        <f t="shared" si="116"/>
        <v>57666.024583333332</v>
      </c>
      <c r="R226" s="101">
        <f t="shared" si="116"/>
        <v>222333.97541666665</v>
      </c>
      <c r="S226" s="348"/>
    </row>
    <row r="227" spans="1:19" s="115" customFormat="1" ht="39.950000000000003" customHeight="1" thickBot="1" x14ac:dyDescent="0.25">
      <c r="A227" s="168"/>
      <c r="B227" s="168"/>
      <c r="C227" s="168"/>
      <c r="D227" s="168"/>
      <c r="E227" s="168"/>
      <c r="F227" s="173"/>
      <c r="G227" s="173"/>
      <c r="H227" s="194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</row>
    <row r="228" spans="1:19" s="115" customFormat="1" ht="39.950000000000003" customHeight="1" thickBot="1" x14ac:dyDescent="0.25">
      <c r="A228" s="171" t="s">
        <v>185</v>
      </c>
      <c r="B228" s="172"/>
      <c r="C228" s="172"/>
      <c r="D228" s="172"/>
      <c r="E228" s="172"/>
      <c r="F228" s="185"/>
      <c r="G228" s="185"/>
      <c r="H228" s="172"/>
      <c r="I228" s="172"/>
      <c r="J228" s="172"/>
      <c r="K228" s="172"/>
      <c r="L228" s="172"/>
      <c r="M228" s="172"/>
      <c r="N228" s="172"/>
      <c r="O228" s="172"/>
      <c r="P228" s="172"/>
      <c r="Q228" s="172"/>
      <c r="R228" s="172"/>
    </row>
    <row r="229" spans="1:19" ht="39.950000000000003" customHeight="1" x14ac:dyDescent="0.2">
      <c r="A229" s="156">
        <f>+A225+1</f>
        <v>103</v>
      </c>
      <c r="B229" s="163" t="s">
        <v>398</v>
      </c>
      <c r="C229" s="152" t="s">
        <v>334</v>
      </c>
      <c r="D229" s="154" t="s">
        <v>347</v>
      </c>
      <c r="E229" s="153" t="s">
        <v>178</v>
      </c>
      <c r="F229" s="102" t="s">
        <v>614</v>
      </c>
      <c r="G229" s="102" t="s">
        <v>645</v>
      </c>
      <c r="H229" s="97">
        <v>80000</v>
      </c>
      <c r="I229" s="105">
        <f>H229*2.87%</f>
        <v>2296</v>
      </c>
      <c r="J229" s="105">
        <f>+H229*3.04%</f>
        <v>2432</v>
      </c>
      <c r="K229" s="105"/>
      <c r="L229" s="116">
        <f>+J229+I229+K229</f>
        <v>4728</v>
      </c>
      <c r="M229" s="116">
        <f>+H229-L229</f>
        <v>75272</v>
      </c>
      <c r="N229" s="116">
        <f t="shared" ref="N229" si="117">+IF(M229*12&lt;=416220.01,0,IF(M229*12&lt;=624329.01,(((M229*12-416220.01)*0.15)/12),IF((M229*12&lt;=867123.01),(31216+0.2*(M229*12-624329.01))/12,((79776+0.25*(M229*12-867123.01))/12))))-O229</f>
        <v>7400.9372916666662</v>
      </c>
      <c r="O229" s="116"/>
      <c r="P229" s="155">
        <v>1290.29</v>
      </c>
      <c r="Q229" s="116">
        <f>+P229+N229+L229</f>
        <v>13419.227291666666</v>
      </c>
      <c r="R229" s="162">
        <f>H229-Q229</f>
        <v>66580.77270833333</v>
      </c>
    </row>
    <row r="230" spans="1:19" s="115" customFormat="1" ht="39.950000000000003" customHeight="1" thickBot="1" x14ac:dyDescent="0.25">
      <c r="A230" s="366" t="s">
        <v>99</v>
      </c>
      <c r="B230" s="367"/>
      <c r="C230" s="182"/>
      <c r="D230" s="182"/>
      <c r="E230" s="182"/>
      <c r="F230" s="324"/>
      <c r="G230" s="325"/>
      <c r="H230" s="101">
        <f t="shared" ref="H230:Q230" si="118">SUM(H225:H229)</f>
        <v>440000</v>
      </c>
      <c r="I230" s="101">
        <f t="shared" si="118"/>
        <v>12628</v>
      </c>
      <c r="J230" s="101">
        <f t="shared" si="118"/>
        <v>13376</v>
      </c>
      <c r="K230" s="101">
        <f t="shared" si="118"/>
        <v>3839.56</v>
      </c>
      <c r="L230" s="101">
        <f t="shared" si="118"/>
        <v>29843.559999999998</v>
      </c>
      <c r="M230" s="101">
        <f t="shared" si="118"/>
        <v>410156.44</v>
      </c>
      <c r="N230" s="101">
        <f t="shared" si="118"/>
        <v>35609.554166666669</v>
      </c>
      <c r="O230" s="101">
        <f t="shared" si="118"/>
        <v>0</v>
      </c>
      <c r="P230" s="101">
        <f t="shared" si="118"/>
        <v>33331.24</v>
      </c>
      <c r="Q230" s="101">
        <f t="shared" si="118"/>
        <v>98784.354166666672</v>
      </c>
      <c r="R230" s="101">
        <f>SUM(R229)</f>
        <v>66580.77270833333</v>
      </c>
      <c r="S230" s="344"/>
    </row>
    <row r="231" spans="1:19" s="111" customFormat="1" ht="39.950000000000003" customHeight="1" thickBot="1" x14ac:dyDescent="0.25">
      <c r="A231" s="195"/>
      <c r="B231" s="195"/>
      <c r="C231" s="195"/>
      <c r="D231" s="195"/>
      <c r="E231" s="195"/>
      <c r="F231" s="336"/>
      <c r="G231" s="336"/>
      <c r="H231" s="196"/>
      <c r="I231" s="196"/>
      <c r="J231" s="196"/>
      <c r="K231" s="196"/>
      <c r="L231" s="196"/>
      <c r="M231" s="196"/>
      <c r="N231" s="196"/>
      <c r="O231" s="196"/>
      <c r="P231" s="196"/>
      <c r="Q231" s="196"/>
      <c r="R231" s="196"/>
    </row>
    <row r="232" spans="1:19" s="111" customFormat="1" ht="39.950000000000003" customHeight="1" thickBot="1" x14ac:dyDescent="0.25">
      <c r="A232" s="171" t="s">
        <v>12</v>
      </c>
      <c r="B232" s="172"/>
      <c r="C232" s="172"/>
      <c r="D232" s="172"/>
      <c r="E232" s="172"/>
      <c r="F232" s="185"/>
      <c r="G232" s="185"/>
      <c r="H232" s="172"/>
      <c r="I232" s="172"/>
      <c r="J232" s="172"/>
      <c r="K232" s="172"/>
      <c r="L232" s="172"/>
      <c r="M232" s="172"/>
      <c r="N232" s="172"/>
      <c r="O232" s="172"/>
      <c r="P232" s="172"/>
      <c r="Q232" s="172"/>
      <c r="R232" s="172"/>
    </row>
    <row r="233" spans="1:19" s="99" customFormat="1" ht="39.950000000000003" customHeight="1" x14ac:dyDescent="0.2">
      <c r="A233" s="175">
        <f>+A229+1</f>
        <v>104</v>
      </c>
      <c r="B233" s="66" t="s">
        <v>121</v>
      </c>
      <c r="C233" s="67" t="s">
        <v>334</v>
      </c>
      <c r="D233" s="66" t="s">
        <v>500</v>
      </c>
      <c r="E233" s="174" t="s">
        <v>178</v>
      </c>
      <c r="F233" s="174" t="s">
        <v>603</v>
      </c>
      <c r="G233" s="174" t="s">
        <v>643</v>
      </c>
      <c r="H233" s="118">
        <v>170000</v>
      </c>
      <c r="I233" s="118">
        <f>H233*2.87%</f>
        <v>4879</v>
      </c>
      <c r="J233" s="118">
        <f>+H233*3.04%</f>
        <v>5168</v>
      </c>
      <c r="K233" s="116">
        <v>0</v>
      </c>
      <c r="L233" s="118">
        <f>+J233+I233+K233</f>
        <v>10047</v>
      </c>
      <c r="M233" s="118">
        <f>+H233-L233</f>
        <v>159953</v>
      </c>
      <c r="N233" s="116">
        <f>+IF(M233*12&lt;=416220.01,0,IF(M233*12&lt;=624329.01,(((M233*12-416220.01)*0.15)/12),IF((M233*12&lt;=867123.01),(31216+0.2*(M233*12-624329.01))/12,((79776+0.25*(M233*12-867123.01))/12))))</f>
        <v>28571.187291666665</v>
      </c>
      <c r="O233" s="118"/>
      <c r="P233" s="116">
        <v>225</v>
      </c>
      <c r="Q233" s="116">
        <f>+P233+N233+L233</f>
        <v>38843.187291666662</v>
      </c>
      <c r="R233" s="155">
        <f>+H233-Q233</f>
        <v>131156.81270833334</v>
      </c>
    </row>
    <row r="234" spans="1:19" s="99" customFormat="1" ht="39.950000000000003" customHeight="1" x14ac:dyDescent="0.2">
      <c r="A234" s="366" t="s">
        <v>99</v>
      </c>
      <c r="B234" s="367"/>
      <c r="C234" s="182"/>
      <c r="D234" s="182"/>
      <c r="E234" s="182"/>
      <c r="F234" s="324"/>
      <c r="G234" s="323"/>
      <c r="H234" s="101">
        <f>SUM(H233:H233)</f>
        <v>170000</v>
      </c>
      <c r="I234" s="101">
        <f t="shared" ref="I234:R234" si="119">SUM(I233:I233)</f>
        <v>4879</v>
      </c>
      <c r="J234" s="101">
        <f t="shared" si="119"/>
        <v>5168</v>
      </c>
      <c r="K234" s="101">
        <f t="shared" si="119"/>
        <v>0</v>
      </c>
      <c r="L234" s="101">
        <f t="shared" si="119"/>
        <v>10047</v>
      </c>
      <c r="M234" s="101">
        <f t="shared" si="119"/>
        <v>159953</v>
      </c>
      <c r="N234" s="101">
        <f t="shared" si="119"/>
        <v>28571.187291666665</v>
      </c>
      <c r="O234" s="101">
        <f t="shared" si="119"/>
        <v>0</v>
      </c>
      <c r="P234" s="101">
        <f t="shared" si="119"/>
        <v>225</v>
      </c>
      <c r="Q234" s="101">
        <f t="shared" si="119"/>
        <v>38843.187291666662</v>
      </c>
      <c r="R234" s="101">
        <f t="shared" si="119"/>
        <v>131156.81270833334</v>
      </c>
      <c r="S234" s="348"/>
    </row>
    <row r="235" spans="1:19" s="111" customFormat="1" ht="39.950000000000003" customHeight="1" thickBot="1" x14ac:dyDescent="0.25">
      <c r="A235" s="168"/>
      <c r="B235" s="168"/>
      <c r="C235" s="168"/>
      <c r="D235" s="168"/>
      <c r="E235" s="168"/>
      <c r="F235" s="173"/>
      <c r="G235" s="173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</row>
    <row r="236" spans="1:19" s="111" customFormat="1" ht="39.950000000000003" customHeight="1" thickBot="1" x14ac:dyDescent="0.25">
      <c r="A236" s="171" t="s">
        <v>315</v>
      </c>
      <c r="B236" s="172"/>
      <c r="C236" s="172"/>
      <c r="D236" s="172"/>
      <c r="E236" s="172"/>
      <c r="F236" s="185"/>
      <c r="G236" s="185"/>
      <c r="H236" s="172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</row>
    <row r="237" spans="1:19" s="111" customFormat="1" ht="39.950000000000003" customHeight="1" x14ac:dyDescent="0.2">
      <c r="A237" s="175">
        <f>+A233+1</f>
        <v>105</v>
      </c>
      <c r="B237" s="66" t="s">
        <v>316</v>
      </c>
      <c r="C237" s="67" t="s">
        <v>334</v>
      </c>
      <c r="D237" s="66" t="s">
        <v>501</v>
      </c>
      <c r="E237" s="174" t="s">
        <v>178</v>
      </c>
      <c r="F237" s="174" t="s">
        <v>604</v>
      </c>
      <c r="G237" s="174" t="s">
        <v>633</v>
      </c>
      <c r="H237" s="118">
        <v>155000</v>
      </c>
      <c r="I237" s="118">
        <f>H237*2.87%</f>
        <v>4448.5</v>
      </c>
      <c r="J237" s="118">
        <f>+H237*3.04%</f>
        <v>4712</v>
      </c>
      <c r="K237" s="116">
        <v>0</v>
      </c>
      <c r="L237" s="116">
        <f>+J237+I237+K237</f>
        <v>9160.5</v>
      </c>
      <c r="M237" s="116">
        <f>+H237-L237</f>
        <v>145839.5</v>
      </c>
      <c r="N237" s="116">
        <f>+IF(M237*12&lt;=416220.01,0,IF(M237*12&lt;=624329.01,(((M237*12-416220.01)*0.15)/12),IF((M237*12&lt;=867123.01),(31216+0.2*(M237*12-624329.01))/12,((79776+0.25*(M237*12-867123.01))/12))))</f>
        <v>25042.812291666665</v>
      </c>
      <c r="O237" s="116"/>
      <c r="P237" s="155">
        <v>225</v>
      </c>
      <c r="Q237" s="116">
        <f>+P237+N237+L237</f>
        <v>34428.312291666662</v>
      </c>
      <c r="R237" s="155">
        <f>+H237-Q237</f>
        <v>120571.68770833334</v>
      </c>
    </row>
    <row r="238" spans="1:19" s="111" customFormat="1" ht="39.950000000000003" customHeight="1" x14ac:dyDescent="0.2">
      <c r="A238" s="366" t="s">
        <v>99</v>
      </c>
      <c r="B238" s="367"/>
      <c r="C238" s="182"/>
      <c r="D238" s="182"/>
      <c r="E238" s="182"/>
      <c r="F238" s="324"/>
      <c r="G238" s="323"/>
      <c r="H238" s="101">
        <f>SUM(H237:H237)</f>
        <v>155000</v>
      </c>
      <c r="I238" s="101">
        <f t="shared" ref="I238:R238" si="120">SUM(I237:I237)</f>
        <v>4448.5</v>
      </c>
      <c r="J238" s="101">
        <f t="shared" si="120"/>
        <v>4712</v>
      </c>
      <c r="K238" s="101">
        <f t="shared" si="120"/>
        <v>0</v>
      </c>
      <c r="L238" s="101">
        <f t="shared" si="120"/>
        <v>9160.5</v>
      </c>
      <c r="M238" s="101">
        <f t="shared" si="120"/>
        <v>145839.5</v>
      </c>
      <c r="N238" s="101">
        <f t="shared" si="120"/>
        <v>25042.812291666665</v>
      </c>
      <c r="O238" s="101">
        <f t="shared" si="120"/>
        <v>0</v>
      </c>
      <c r="P238" s="101">
        <f t="shared" si="120"/>
        <v>225</v>
      </c>
      <c r="Q238" s="101">
        <f t="shared" si="120"/>
        <v>34428.312291666662</v>
      </c>
      <c r="R238" s="101">
        <f t="shared" si="120"/>
        <v>120571.68770833334</v>
      </c>
      <c r="S238" s="344"/>
    </row>
    <row r="239" spans="1:19" s="111" customFormat="1" ht="39.950000000000003" customHeight="1" thickBot="1" x14ac:dyDescent="0.25">
      <c r="A239" s="168"/>
      <c r="B239" s="168"/>
      <c r="C239" s="168"/>
      <c r="D239" s="168"/>
      <c r="E239" s="168"/>
      <c r="F239" s="173"/>
      <c r="G239" s="173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</row>
    <row r="240" spans="1:19" s="111" customFormat="1" ht="39.950000000000003" customHeight="1" thickBot="1" x14ac:dyDescent="0.25">
      <c r="A240" s="197" t="s">
        <v>553</v>
      </c>
      <c r="B240" s="196"/>
      <c r="C240" s="196"/>
      <c r="D240" s="196"/>
      <c r="E240" s="196"/>
      <c r="F240" s="337"/>
      <c r="G240" s="337"/>
      <c r="H240" s="196"/>
      <c r="I240" s="196"/>
      <c r="J240" s="196"/>
      <c r="K240" s="196"/>
      <c r="L240" s="196"/>
      <c r="M240" s="196"/>
      <c r="N240" s="196"/>
      <c r="O240" s="196"/>
      <c r="P240" s="196"/>
      <c r="Q240" s="196"/>
      <c r="R240" s="196"/>
    </row>
    <row r="241" spans="1:19" s="111" customFormat="1" ht="39.950000000000003" customHeight="1" x14ac:dyDescent="0.2">
      <c r="A241" s="152">
        <f>+A237+1</f>
        <v>106</v>
      </c>
      <c r="B241" s="157" t="s">
        <v>554</v>
      </c>
      <c r="C241" s="130" t="s">
        <v>334</v>
      </c>
      <c r="D241" s="142" t="s">
        <v>555</v>
      </c>
      <c r="E241" s="153" t="s">
        <v>178</v>
      </c>
      <c r="F241" s="174" t="s">
        <v>604</v>
      </c>
      <c r="G241" s="174" t="s">
        <v>633</v>
      </c>
      <c r="H241" s="105">
        <v>100000</v>
      </c>
      <c r="I241" s="116">
        <f>H241*2.87%</f>
        <v>2870</v>
      </c>
      <c r="J241" s="116">
        <f>+H241*3.04%</f>
        <v>3040</v>
      </c>
      <c r="K241" s="116">
        <v>1919.78</v>
      </c>
      <c r="L241" s="116">
        <f>+J241+I241+K241</f>
        <v>7829.78</v>
      </c>
      <c r="M241" s="116">
        <f>+H241-L241</f>
        <v>92170.22</v>
      </c>
      <c r="N241" s="116">
        <f>+IF(M241*12&lt;=416220.01,0,IF(M241*12&lt;=624329.01,(((M241*12-416220.01)*0.15)/12),IF((M241*12&lt;=867123.01),(31216+0.2*(M241*12-624329.01))/12,((79776+0.25*(M241*12-867123.01))/12))))</f>
        <v>11625.492291666669</v>
      </c>
      <c r="O241" s="116">
        <v>0</v>
      </c>
      <c r="P241" s="116">
        <v>4725</v>
      </c>
      <c r="Q241" s="116">
        <f>+P241+N241+L241</f>
        <v>24180.272291666668</v>
      </c>
      <c r="R241" s="159">
        <f>+H241-Q241</f>
        <v>75819.727708333332</v>
      </c>
    </row>
    <row r="242" spans="1:19" s="111" customFormat="1" ht="39.950000000000003" customHeight="1" thickBot="1" x14ac:dyDescent="0.25">
      <c r="A242" s="366" t="s">
        <v>99</v>
      </c>
      <c r="B242" s="367"/>
      <c r="C242" s="100"/>
      <c r="D242" s="100"/>
      <c r="E242" s="100"/>
      <c r="F242" s="323"/>
      <c r="G242" s="323"/>
      <c r="H242" s="101">
        <f>SUM(H241:H241)</f>
        <v>100000</v>
      </c>
      <c r="I242" s="101">
        <f t="shared" ref="I242:R242" si="121">SUM(I241:I241)</f>
        <v>2870</v>
      </c>
      <c r="J242" s="101">
        <f t="shared" si="121"/>
        <v>3040</v>
      </c>
      <c r="K242" s="101">
        <f t="shared" si="121"/>
        <v>1919.78</v>
      </c>
      <c r="L242" s="101">
        <f t="shared" si="121"/>
        <v>7829.78</v>
      </c>
      <c r="M242" s="101">
        <f t="shared" si="121"/>
        <v>92170.22</v>
      </c>
      <c r="N242" s="101">
        <f t="shared" si="121"/>
        <v>11625.492291666669</v>
      </c>
      <c r="O242" s="101">
        <f t="shared" si="121"/>
        <v>0</v>
      </c>
      <c r="P242" s="101">
        <f t="shared" si="121"/>
        <v>4725</v>
      </c>
      <c r="Q242" s="101">
        <f t="shared" si="121"/>
        <v>24180.272291666668</v>
      </c>
      <c r="R242" s="101">
        <f t="shared" si="121"/>
        <v>75819.727708333332</v>
      </c>
      <c r="S242" s="344"/>
    </row>
    <row r="243" spans="1:19" s="111" customFormat="1" ht="39.950000000000003" customHeight="1" thickBot="1" x14ac:dyDescent="0.25">
      <c r="A243" s="171" t="s">
        <v>351</v>
      </c>
      <c r="B243" s="172"/>
      <c r="C243" s="172"/>
      <c r="D243" s="172"/>
      <c r="E243" s="172"/>
      <c r="F243" s="185"/>
      <c r="G243" s="327"/>
      <c r="H243" s="172"/>
      <c r="I243" s="172"/>
      <c r="J243" s="172"/>
      <c r="K243" s="172"/>
      <c r="L243" s="172"/>
      <c r="M243" s="172"/>
      <c r="N243" s="172"/>
      <c r="O243" s="172"/>
      <c r="P243" s="172"/>
      <c r="Q243" s="172"/>
      <c r="R243" s="172"/>
    </row>
    <row r="244" spans="1:19" s="111" customFormat="1" ht="39.950000000000003" customHeight="1" x14ac:dyDescent="0.2">
      <c r="A244" s="156">
        <f>+A241+1</f>
        <v>107</v>
      </c>
      <c r="B244" s="157" t="s">
        <v>458</v>
      </c>
      <c r="C244" s="130" t="s">
        <v>334</v>
      </c>
      <c r="D244" s="142" t="s">
        <v>491</v>
      </c>
      <c r="E244" s="153" t="s">
        <v>178</v>
      </c>
      <c r="F244" s="174" t="s">
        <v>624</v>
      </c>
      <c r="G244" s="174" t="s">
        <v>656</v>
      </c>
      <c r="H244" s="97">
        <v>145000</v>
      </c>
      <c r="I244" s="118">
        <f>H244*2.87%</f>
        <v>4161.5</v>
      </c>
      <c r="J244" s="118">
        <f>+H244*3.04%</f>
        <v>4408</v>
      </c>
      <c r="K244" s="118"/>
      <c r="L244" s="116">
        <f>+J244+I244+K244</f>
        <v>8569.5</v>
      </c>
      <c r="M244" s="116">
        <f>+H244-L244</f>
        <v>136430.5</v>
      </c>
      <c r="N244" s="116">
        <f t="shared" ref="N244" si="122">+IF(M244*12&lt;=416220.01,0,IF(M244*12&lt;=624329.01,(((M244*12-416220.01)*0.15)/12),IF((M244*12&lt;=867123.01),(31216+0.2*(M244*12-624329.01))/12,((79776+0.25*(M244*12-867123.01))/12))))</f>
        <v>22690.562291666665</v>
      </c>
      <c r="O244" s="116"/>
      <c r="P244" s="155">
        <v>25</v>
      </c>
      <c r="Q244" s="116">
        <f>+P244+N244+L244</f>
        <v>31285.062291666665</v>
      </c>
      <c r="R244" s="155">
        <f>+H244-Q244</f>
        <v>113714.93770833334</v>
      </c>
    </row>
    <row r="245" spans="1:19" s="115" customFormat="1" ht="39.950000000000003" customHeight="1" x14ac:dyDescent="0.2">
      <c r="A245" s="156">
        <f>+A244+1</f>
        <v>108</v>
      </c>
      <c r="B245" s="157" t="s">
        <v>613</v>
      </c>
      <c r="C245" s="130" t="s">
        <v>334</v>
      </c>
      <c r="D245" s="142" t="s">
        <v>663</v>
      </c>
      <c r="E245" s="153" t="s">
        <v>178</v>
      </c>
      <c r="F245" s="174" t="s">
        <v>650</v>
      </c>
      <c r="G245" s="174" t="s">
        <v>645</v>
      </c>
      <c r="H245" s="97">
        <v>80000</v>
      </c>
      <c r="I245" s="118">
        <f>H245*2.87%</f>
        <v>2296</v>
      </c>
      <c r="J245" s="118">
        <f>+H245*3.04%</f>
        <v>2432</v>
      </c>
      <c r="K245" s="118"/>
      <c r="L245" s="116">
        <f>+J245+I245+K245</f>
        <v>4728</v>
      </c>
      <c r="M245" s="116">
        <f>+H245-L245</f>
        <v>75272</v>
      </c>
      <c r="N245" s="116">
        <v>2307.29</v>
      </c>
      <c r="O245" s="116"/>
      <c r="P245" s="155">
        <v>5090.29</v>
      </c>
      <c r="Q245" s="116">
        <f>+P245+N245+L245</f>
        <v>12125.58</v>
      </c>
      <c r="R245" s="155">
        <f>+H245-Q245</f>
        <v>67874.42</v>
      </c>
    </row>
    <row r="246" spans="1:19" s="99" customFormat="1" ht="39.950000000000003" customHeight="1" thickBot="1" x14ac:dyDescent="0.25">
      <c r="A246" s="366" t="s">
        <v>99</v>
      </c>
      <c r="B246" s="367"/>
      <c r="C246" s="100"/>
      <c r="D246" s="100"/>
      <c r="E246" s="100"/>
      <c r="F246" s="323"/>
      <c r="G246" s="323"/>
      <c r="H246" s="101">
        <f t="shared" ref="H246:R246" si="123">SUM(H244:H245)</f>
        <v>225000</v>
      </c>
      <c r="I246" s="101">
        <f t="shared" si="123"/>
        <v>6457.5</v>
      </c>
      <c r="J246" s="101">
        <f t="shared" si="123"/>
        <v>6840</v>
      </c>
      <c r="K246" s="101">
        <f t="shared" si="123"/>
        <v>0</v>
      </c>
      <c r="L246" s="101">
        <f t="shared" si="123"/>
        <v>13297.5</v>
      </c>
      <c r="M246" s="101">
        <f t="shared" si="123"/>
        <v>211702.5</v>
      </c>
      <c r="N246" s="101">
        <f t="shared" si="123"/>
        <v>24997.852291666666</v>
      </c>
      <c r="O246" s="101">
        <f t="shared" si="123"/>
        <v>0</v>
      </c>
      <c r="P246" s="101">
        <f t="shared" si="123"/>
        <v>5115.29</v>
      </c>
      <c r="Q246" s="101">
        <f t="shared" si="123"/>
        <v>43410.642291666663</v>
      </c>
      <c r="R246" s="101">
        <f t="shared" si="123"/>
        <v>181589.35770833335</v>
      </c>
      <c r="S246" s="348"/>
    </row>
    <row r="247" spans="1:19" ht="39.950000000000003" customHeight="1" thickBot="1" x14ac:dyDescent="0.25">
      <c r="A247" s="197" t="s">
        <v>525</v>
      </c>
      <c r="B247" s="196"/>
      <c r="C247" s="196"/>
      <c r="D247" s="196"/>
      <c r="E247" s="196"/>
      <c r="F247" s="337"/>
      <c r="G247" s="337"/>
      <c r="H247" s="196"/>
      <c r="I247" s="196"/>
      <c r="J247" s="196"/>
      <c r="K247" s="196"/>
      <c r="L247" s="196"/>
      <c r="M247" s="196"/>
      <c r="N247" s="196"/>
      <c r="O247" s="196"/>
      <c r="P247" s="196"/>
      <c r="Q247" s="196"/>
      <c r="R247" s="196"/>
    </row>
    <row r="248" spans="1:19" ht="39.950000000000003" customHeight="1" x14ac:dyDescent="0.2">
      <c r="A248" s="152">
        <f>+A245+1</f>
        <v>109</v>
      </c>
      <c r="B248" s="157" t="s">
        <v>301</v>
      </c>
      <c r="C248" s="130" t="s">
        <v>335</v>
      </c>
      <c r="D248" s="142" t="s">
        <v>596</v>
      </c>
      <c r="E248" s="153" t="s">
        <v>178</v>
      </c>
      <c r="F248" s="320" t="s">
        <v>617</v>
      </c>
      <c r="G248" s="320" t="s">
        <v>658</v>
      </c>
      <c r="H248" s="105">
        <v>145000</v>
      </c>
      <c r="I248" s="116">
        <f>H248*2.87%</f>
        <v>4161.5</v>
      </c>
      <c r="J248" s="116">
        <f>+H248*3.04%</f>
        <v>4408</v>
      </c>
      <c r="K248" s="116"/>
      <c r="L248" s="116">
        <f>+J248+I248+K248</f>
        <v>8569.5</v>
      </c>
      <c r="M248" s="116">
        <f>+H248-L248</f>
        <v>136430.5</v>
      </c>
      <c r="N248" s="116">
        <f t="shared" ref="N248" si="124">+IF(M248*12&lt;=416220.01,0,IF(M248*12&lt;=624329.01,(((M248*12-416220.01)*0.15)/12),IF((M248*12&lt;=867123.01),(31216+0.2*(M248*12-624329.01))/12,((79776+0.25*(M248*12-867123.01))/12))))</f>
        <v>22690.562291666665</v>
      </c>
      <c r="O248" s="116"/>
      <c r="P248" s="159">
        <v>17773.79</v>
      </c>
      <c r="Q248" s="116">
        <f>+P248+N248+L248</f>
        <v>49033.85229166667</v>
      </c>
      <c r="R248" s="159">
        <f>+H248-Q248</f>
        <v>95966.14770833333</v>
      </c>
    </row>
    <row r="249" spans="1:19" ht="39.950000000000003" customHeight="1" x14ac:dyDescent="0.2">
      <c r="A249" s="366" t="s">
        <v>99</v>
      </c>
      <c r="B249" s="367"/>
      <c r="C249" s="100"/>
      <c r="D249" s="100"/>
      <c r="E249" s="100"/>
      <c r="F249" s="323"/>
      <c r="G249" s="323"/>
      <c r="H249" s="101">
        <f t="shared" ref="H249:R249" si="125">SUM(H248:H248)</f>
        <v>145000</v>
      </c>
      <c r="I249" s="101">
        <f t="shared" si="125"/>
        <v>4161.5</v>
      </c>
      <c r="J249" s="101">
        <f t="shared" si="125"/>
        <v>4408</v>
      </c>
      <c r="K249" s="101">
        <f t="shared" si="125"/>
        <v>0</v>
      </c>
      <c r="L249" s="101">
        <f t="shared" si="125"/>
        <v>8569.5</v>
      </c>
      <c r="M249" s="101">
        <f t="shared" si="125"/>
        <v>136430.5</v>
      </c>
      <c r="N249" s="101">
        <f t="shared" si="125"/>
        <v>22690.562291666665</v>
      </c>
      <c r="O249" s="101">
        <f t="shared" si="125"/>
        <v>0</v>
      </c>
      <c r="P249" s="101">
        <f t="shared" si="125"/>
        <v>17773.79</v>
      </c>
      <c r="Q249" s="101">
        <f t="shared" si="125"/>
        <v>49033.85229166667</v>
      </c>
      <c r="R249" s="101">
        <f t="shared" si="125"/>
        <v>95966.14770833333</v>
      </c>
      <c r="S249" s="348"/>
    </row>
    <row r="250" spans="1:19" ht="39.950000000000003" customHeight="1" thickBot="1" x14ac:dyDescent="0.25">
      <c r="A250" s="168"/>
      <c r="B250" s="168"/>
      <c r="C250" s="168"/>
      <c r="D250" s="168"/>
      <c r="E250" s="168"/>
      <c r="F250" s="173"/>
      <c r="G250" s="173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</row>
    <row r="251" spans="1:19" ht="39.950000000000003" customHeight="1" thickBot="1" x14ac:dyDescent="0.25">
      <c r="A251" s="284" t="s">
        <v>188</v>
      </c>
      <c r="B251" s="185"/>
      <c r="C251" s="185"/>
      <c r="D251" s="185"/>
      <c r="E251" s="185"/>
      <c r="F251" s="185"/>
      <c r="G251" s="185"/>
      <c r="H251" s="185"/>
      <c r="I251" s="185"/>
      <c r="J251" s="185"/>
      <c r="K251" s="172"/>
      <c r="L251" s="172"/>
      <c r="M251" s="172"/>
      <c r="N251" s="172"/>
      <c r="O251" s="172"/>
      <c r="P251" s="172"/>
      <c r="Q251" s="172"/>
      <c r="R251" s="172"/>
    </row>
    <row r="252" spans="1:19" s="115" customFormat="1" ht="39.950000000000003" customHeight="1" x14ac:dyDescent="0.2">
      <c r="A252" s="156">
        <f>+A248+1</f>
        <v>110</v>
      </c>
      <c r="B252" s="177" t="s">
        <v>534</v>
      </c>
      <c r="C252" s="132" t="s">
        <v>335</v>
      </c>
      <c r="D252" s="139" t="s">
        <v>535</v>
      </c>
      <c r="E252" s="174" t="s">
        <v>178</v>
      </c>
      <c r="F252" s="174" t="s">
        <v>603</v>
      </c>
      <c r="G252" s="174" t="s">
        <v>643</v>
      </c>
      <c r="H252" s="97">
        <v>50000</v>
      </c>
      <c r="I252" s="118">
        <f>H252*2.87%</f>
        <v>1435</v>
      </c>
      <c r="J252" s="118">
        <f>+H252*3.04%</f>
        <v>1520</v>
      </c>
      <c r="K252" s="116">
        <v>0</v>
      </c>
      <c r="L252" s="116">
        <f>+J252+I252+K252</f>
        <v>2955</v>
      </c>
      <c r="M252" s="116">
        <f>+H252-L252</f>
        <v>47045</v>
      </c>
      <c r="N252" s="116">
        <f t="shared" ref="N252:N253" si="126">+IF(M252*12&lt;=416220.01,0,IF(M252*12&lt;=624329.01,(((M252*12-416220.01)*0.15)/12),IF((M252*12&lt;=867123.01),(31216+0.2*(M252*12-624329.01))/12,((79776+0.25*(M252*12-867123.01))/12))))</f>
        <v>1853.9998749999997</v>
      </c>
      <c r="O252" s="116"/>
      <c r="P252" s="155">
        <v>1290.29</v>
      </c>
      <c r="Q252" s="116">
        <f>+P252+N252+L252</f>
        <v>6099.2898749999995</v>
      </c>
      <c r="R252" s="155">
        <f>+H252-Q252</f>
        <v>43900.710124999998</v>
      </c>
    </row>
    <row r="253" spans="1:19" s="115" customFormat="1" ht="39.950000000000003" customHeight="1" x14ac:dyDescent="0.2">
      <c r="A253" s="152">
        <f>+A252+1</f>
        <v>111</v>
      </c>
      <c r="B253" s="157" t="s">
        <v>320</v>
      </c>
      <c r="C253" s="130" t="s">
        <v>335</v>
      </c>
      <c r="D253" s="157" t="s">
        <v>530</v>
      </c>
      <c r="E253" s="153" t="s">
        <v>178</v>
      </c>
      <c r="F253" s="174" t="s">
        <v>614</v>
      </c>
      <c r="G253" s="174" t="s">
        <v>645</v>
      </c>
      <c r="H253" s="116">
        <v>60000</v>
      </c>
      <c r="I253" s="116">
        <f t="shared" ref="I253" si="127">H253*2.87%</f>
        <v>1722</v>
      </c>
      <c r="J253" s="118">
        <f t="shared" ref="J253" si="128">+H253*3.04%</f>
        <v>1824</v>
      </c>
      <c r="K253" s="118">
        <v>1919.78</v>
      </c>
      <c r="L253" s="116">
        <f>+J253+I253+K253</f>
        <v>5465.78</v>
      </c>
      <c r="M253" s="116">
        <f>+H253-L253</f>
        <v>54534.22</v>
      </c>
      <c r="N253" s="116">
        <f t="shared" si="126"/>
        <v>3102.6938333333333</v>
      </c>
      <c r="O253" s="116">
        <v>0</v>
      </c>
      <c r="P253" s="155">
        <v>2790.29</v>
      </c>
      <c r="Q253" s="116">
        <f>+P253+N253+L253</f>
        <v>11358.763833333334</v>
      </c>
      <c r="R253" s="155">
        <f>+H253-Q253</f>
        <v>48641.236166666669</v>
      </c>
    </row>
    <row r="254" spans="1:19" ht="39.950000000000003" customHeight="1" x14ac:dyDescent="0.2">
      <c r="A254" s="366" t="s">
        <v>99</v>
      </c>
      <c r="B254" s="367"/>
      <c r="C254" s="100"/>
      <c r="D254" s="100"/>
      <c r="E254" s="100"/>
      <c r="F254" s="323"/>
      <c r="G254" s="323"/>
      <c r="H254" s="101">
        <f>+SUM(H252:H253)</f>
        <v>110000</v>
      </c>
      <c r="I254" s="101">
        <f t="shared" ref="I254:R254" si="129">+SUM(I252:I253)</f>
        <v>3157</v>
      </c>
      <c r="J254" s="101">
        <f t="shared" si="129"/>
        <v>3344</v>
      </c>
      <c r="K254" s="101">
        <f t="shared" si="129"/>
        <v>1919.78</v>
      </c>
      <c r="L254" s="101">
        <f t="shared" si="129"/>
        <v>8420.7799999999988</v>
      </c>
      <c r="M254" s="101">
        <f t="shared" si="129"/>
        <v>101579.22</v>
      </c>
      <c r="N254" s="101">
        <f t="shared" si="129"/>
        <v>4956.6937083333332</v>
      </c>
      <c r="O254" s="101">
        <f t="shared" si="129"/>
        <v>0</v>
      </c>
      <c r="P254" s="101">
        <f t="shared" si="129"/>
        <v>4080.58</v>
      </c>
      <c r="Q254" s="101">
        <f t="shared" si="129"/>
        <v>17458.053708333333</v>
      </c>
      <c r="R254" s="101">
        <f t="shared" si="129"/>
        <v>92541.946291666667</v>
      </c>
      <c r="S254" s="348"/>
    </row>
    <row r="255" spans="1:19" ht="39.950000000000003" customHeight="1" thickBot="1" x14ac:dyDescent="0.25">
      <c r="A255" s="168"/>
      <c r="B255" s="168"/>
      <c r="C255" s="183"/>
      <c r="D255" s="183"/>
      <c r="E255" s="183"/>
      <c r="F255" s="331"/>
      <c r="G255" s="331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</row>
    <row r="256" spans="1:19" ht="39.950000000000003" customHeight="1" thickBot="1" x14ac:dyDescent="0.25">
      <c r="A256" s="171" t="s">
        <v>536</v>
      </c>
      <c r="B256" s="172"/>
      <c r="C256" s="172"/>
      <c r="D256" s="172"/>
      <c r="E256" s="172"/>
      <c r="F256" s="185"/>
      <c r="G256" s="185"/>
      <c r="H256" s="172"/>
      <c r="I256" s="172"/>
      <c r="J256" s="172"/>
      <c r="K256" s="172"/>
      <c r="L256" s="172"/>
      <c r="M256" s="172"/>
      <c r="N256" s="172"/>
      <c r="O256" s="172"/>
      <c r="P256" s="172"/>
      <c r="Q256" s="172"/>
      <c r="R256" s="172"/>
    </row>
    <row r="257" spans="1:19" ht="39.950000000000003" customHeight="1" x14ac:dyDescent="0.2">
      <c r="A257" s="156">
        <f>+A253+1</f>
        <v>112</v>
      </c>
      <c r="B257" s="102" t="s">
        <v>537</v>
      </c>
      <c r="C257" s="131" t="s">
        <v>334</v>
      </c>
      <c r="D257" s="102" t="s">
        <v>538</v>
      </c>
      <c r="E257" s="174" t="s">
        <v>178</v>
      </c>
      <c r="F257" s="174" t="s">
        <v>603</v>
      </c>
      <c r="G257" s="174" t="s">
        <v>643</v>
      </c>
      <c r="H257" s="118">
        <v>145000</v>
      </c>
      <c r="I257" s="118">
        <f>H257*2.87%</f>
        <v>4161.5</v>
      </c>
      <c r="J257" s="118">
        <f>+H257*3.04%</f>
        <v>4408</v>
      </c>
      <c r="K257" s="118">
        <v>0</v>
      </c>
      <c r="L257" s="118">
        <f>+J257+I257+K257</f>
        <v>8569.5</v>
      </c>
      <c r="M257" s="116">
        <f>+H257-L257</f>
        <v>136430.5</v>
      </c>
      <c r="N257" s="116">
        <f>+IF(M257*12&lt;=416220.01,0,IF(M257*12&lt;=624329.01,(((M257*12-416220.01)*0.15)/12),IF((M257*12&lt;=867123.01),(31216+0.2*(M257*12-624329.01))/12,((79776+0.25*(M257*12-867123.01))/12))))</f>
        <v>22690.562291666665</v>
      </c>
      <c r="O257" s="116"/>
      <c r="P257" s="155">
        <v>25</v>
      </c>
      <c r="Q257" s="116">
        <f>+P257+N257+L257</f>
        <v>31285.062291666665</v>
      </c>
      <c r="R257" s="155">
        <f>+H257-Q257</f>
        <v>113714.93770833334</v>
      </c>
    </row>
    <row r="258" spans="1:19" s="115" customFormat="1" ht="39.950000000000003" customHeight="1" x14ac:dyDescent="0.2">
      <c r="A258" s="366" t="s">
        <v>99</v>
      </c>
      <c r="B258" s="367"/>
      <c r="C258" s="100"/>
      <c r="D258" s="100"/>
      <c r="E258" s="100"/>
      <c r="F258" s="323"/>
      <c r="G258" s="323"/>
      <c r="H258" s="101">
        <f t="shared" ref="H258:J258" si="130">SUM(H257:H257)</f>
        <v>145000</v>
      </c>
      <c r="I258" s="101">
        <f t="shared" si="130"/>
        <v>4161.5</v>
      </c>
      <c r="J258" s="101">
        <f t="shared" si="130"/>
        <v>4408</v>
      </c>
      <c r="K258" s="101">
        <f>SUM(K257:K257)</f>
        <v>0</v>
      </c>
      <c r="L258" s="101">
        <f t="shared" ref="L258:R258" si="131">SUM(L257:L257)</f>
        <v>8569.5</v>
      </c>
      <c r="M258" s="101">
        <f t="shared" si="131"/>
        <v>136430.5</v>
      </c>
      <c r="N258" s="101">
        <f t="shared" si="131"/>
        <v>22690.562291666665</v>
      </c>
      <c r="O258" s="101">
        <f t="shared" si="131"/>
        <v>0</v>
      </c>
      <c r="P258" s="101">
        <f t="shared" si="131"/>
        <v>25</v>
      </c>
      <c r="Q258" s="101">
        <f t="shared" si="131"/>
        <v>31285.062291666665</v>
      </c>
      <c r="R258" s="101">
        <f t="shared" si="131"/>
        <v>113714.93770833334</v>
      </c>
      <c r="S258" s="344"/>
    </row>
    <row r="259" spans="1:19" ht="39.950000000000003" customHeight="1" thickBot="1" x14ac:dyDescent="0.25">
      <c r="A259" s="168"/>
      <c r="B259" s="168"/>
      <c r="C259" s="168"/>
      <c r="D259" s="168"/>
      <c r="E259" s="168"/>
      <c r="F259" s="173"/>
      <c r="G259" s="173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</row>
    <row r="260" spans="1:19" ht="39.950000000000003" customHeight="1" thickBot="1" x14ac:dyDescent="0.25">
      <c r="A260" s="171" t="s">
        <v>352</v>
      </c>
      <c r="B260" s="172"/>
      <c r="C260" s="172"/>
      <c r="D260" s="172"/>
      <c r="E260" s="172"/>
      <c r="F260" s="185"/>
      <c r="G260" s="185"/>
      <c r="H260" s="172"/>
      <c r="I260" s="172"/>
      <c r="J260" s="172"/>
      <c r="K260" s="172"/>
      <c r="L260" s="172"/>
      <c r="M260" s="172"/>
      <c r="N260" s="172"/>
      <c r="O260" s="172"/>
      <c r="P260" s="172"/>
      <c r="Q260" s="172"/>
      <c r="R260" s="172"/>
    </row>
    <row r="261" spans="1:19" ht="39.950000000000003" customHeight="1" x14ac:dyDescent="0.2">
      <c r="A261" s="156">
        <f>+A257+1</f>
        <v>113</v>
      </c>
      <c r="B261" s="102" t="s">
        <v>117</v>
      </c>
      <c r="C261" s="131" t="s">
        <v>335</v>
      </c>
      <c r="D261" s="102" t="s">
        <v>322</v>
      </c>
      <c r="E261" s="174" t="s">
        <v>178</v>
      </c>
      <c r="F261" s="174" t="s">
        <v>624</v>
      </c>
      <c r="G261" s="174" t="s">
        <v>656</v>
      </c>
      <c r="H261" s="118">
        <v>70000</v>
      </c>
      <c r="I261" s="118">
        <f>H261*2.87%</f>
        <v>2009</v>
      </c>
      <c r="J261" s="118">
        <f>+H261*3.04%</f>
        <v>2128</v>
      </c>
      <c r="K261" s="118">
        <v>0</v>
      </c>
      <c r="L261" s="118">
        <f>+J261+I261+K261</f>
        <v>4137</v>
      </c>
      <c r="M261" s="116">
        <f>+H261-L261</f>
        <v>65863</v>
      </c>
      <c r="N261" s="116">
        <f>+IF(M261*12&lt;=416220.01,0,IF(M261*12&lt;=624329.01,(((M261*12-416220.01)*0.15)/12),IF((M261*12&lt;=867123.01),(31216+0.2*(M261*12-624329.01))/12,((79776+0.25*(M261*12-867123.01))/12))))</f>
        <v>5368.4498333333331</v>
      </c>
      <c r="O261" s="116"/>
      <c r="P261" s="155">
        <v>225</v>
      </c>
      <c r="Q261" s="116">
        <f>+P261+N261+L261</f>
        <v>9730.4498333333322</v>
      </c>
      <c r="R261" s="155">
        <f>+H261-Q261</f>
        <v>60269.550166666668</v>
      </c>
    </row>
    <row r="262" spans="1:19" ht="39.950000000000003" customHeight="1" x14ac:dyDescent="0.2">
      <c r="A262" s="366" t="s">
        <v>99</v>
      </c>
      <c r="B262" s="367"/>
      <c r="C262" s="100"/>
      <c r="D262" s="100"/>
      <c r="E262" s="100"/>
      <c r="F262" s="323"/>
      <c r="G262" s="323"/>
      <c r="H262" s="101">
        <f t="shared" ref="H262:R262" si="132">SUM(H261:H261)</f>
        <v>70000</v>
      </c>
      <c r="I262" s="101">
        <f t="shared" si="132"/>
        <v>2009</v>
      </c>
      <c r="J262" s="101">
        <f t="shared" si="132"/>
        <v>2128</v>
      </c>
      <c r="K262" s="101">
        <f>SUM(K261:K261)</f>
        <v>0</v>
      </c>
      <c r="L262" s="101">
        <f t="shared" si="132"/>
        <v>4137</v>
      </c>
      <c r="M262" s="101">
        <f t="shared" si="132"/>
        <v>65863</v>
      </c>
      <c r="N262" s="101">
        <f t="shared" si="132"/>
        <v>5368.4498333333331</v>
      </c>
      <c r="O262" s="101">
        <f t="shared" si="132"/>
        <v>0</v>
      </c>
      <c r="P262" s="101">
        <f t="shared" si="132"/>
        <v>225</v>
      </c>
      <c r="Q262" s="101">
        <f t="shared" si="132"/>
        <v>9730.4498333333322</v>
      </c>
      <c r="R262" s="101">
        <f t="shared" si="132"/>
        <v>60269.550166666668</v>
      </c>
      <c r="S262" s="348"/>
    </row>
    <row r="263" spans="1:19" ht="39.950000000000003" customHeight="1" thickBot="1" x14ac:dyDescent="0.25">
      <c r="A263" s="168"/>
      <c r="B263" s="168"/>
      <c r="C263" s="168"/>
      <c r="D263" s="168"/>
      <c r="E263" s="168"/>
      <c r="F263" s="173"/>
      <c r="G263" s="173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</row>
    <row r="264" spans="1:19" ht="39.950000000000003" customHeight="1" thickBot="1" x14ac:dyDescent="0.25">
      <c r="A264" s="171" t="s">
        <v>459</v>
      </c>
      <c r="B264" s="172"/>
      <c r="C264" s="172"/>
      <c r="D264" s="172"/>
      <c r="E264" s="172"/>
      <c r="F264" s="185"/>
      <c r="G264" s="185"/>
      <c r="H264" s="172"/>
      <c r="I264" s="172"/>
      <c r="J264" s="172"/>
      <c r="K264" s="172"/>
      <c r="L264" s="172"/>
      <c r="M264" s="172"/>
      <c r="N264" s="172"/>
      <c r="O264" s="172"/>
      <c r="P264" s="172"/>
      <c r="Q264" s="172"/>
      <c r="R264" s="172"/>
    </row>
    <row r="265" spans="1:19" ht="39.950000000000003" customHeight="1" x14ac:dyDescent="0.2">
      <c r="A265" s="156">
        <f>+A261+1</f>
        <v>114</v>
      </c>
      <c r="B265" s="102" t="s">
        <v>396</v>
      </c>
      <c r="C265" s="131" t="s">
        <v>335</v>
      </c>
      <c r="D265" s="102" t="s">
        <v>478</v>
      </c>
      <c r="E265" s="174" t="s">
        <v>178</v>
      </c>
      <c r="F265" s="102" t="s">
        <v>614</v>
      </c>
      <c r="G265" s="102" t="s">
        <v>645</v>
      </c>
      <c r="H265" s="118">
        <v>90000</v>
      </c>
      <c r="I265" s="118">
        <f>H265*2.87%</f>
        <v>2583</v>
      </c>
      <c r="J265" s="118">
        <f>+H265*3.04%</f>
        <v>2736</v>
      </c>
      <c r="K265" s="118"/>
      <c r="L265" s="116">
        <f>+J265+I265+K265</f>
        <v>5319</v>
      </c>
      <c r="M265" s="116">
        <f>+H265-L265</f>
        <v>84681</v>
      </c>
      <c r="N265" s="116">
        <f>+IF(M265*12&lt;=416220.01,0,IF(M265*12&lt;=624329.01,(((M265*12-416220.01)*0.15)/12),IF((M265*12&lt;=867123.01),(31216+0.2*(M265*12-624329.01))/12,((79776+0.25*(M265*12-867123.01))/12))))</f>
        <v>9753.1872916666671</v>
      </c>
      <c r="O265" s="116"/>
      <c r="P265" s="159">
        <v>15290.29</v>
      </c>
      <c r="Q265" s="116">
        <f>+P265+N265+L265</f>
        <v>30362.47729166667</v>
      </c>
      <c r="R265" s="155">
        <f>+H265-Q265</f>
        <v>59637.52270833333</v>
      </c>
    </row>
    <row r="266" spans="1:19" ht="39.950000000000003" customHeight="1" x14ac:dyDescent="0.2">
      <c r="A266" s="156">
        <f>+A265+1</f>
        <v>115</v>
      </c>
      <c r="B266" s="102" t="s">
        <v>482</v>
      </c>
      <c r="C266" s="131" t="s">
        <v>335</v>
      </c>
      <c r="D266" s="102" t="s">
        <v>483</v>
      </c>
      <c r="E266" s="174" t="s">
        <v>178</v>
      </c>
      <c r="F266" s="174" t="s">
        <v>604</v>
      </c>
      <c r="G266" s="174" t="s">
        <v>633</v>
      </c>
      <c r="H266" s="118">
        <v>38000</v>
      </c>
      <c r="I266" s="116">
        <f>H266*2.87%</f>
        <v>1090.5999999999999</v>
      </c>
      <c r="J266" s="116">
        <f>+H266*3.04%</f>
        <v>1155.2</v>
      </c>
      <c r="K266" s="116"/>
      <c r="L266" s="116">
        <f>+J266+I266+K266</f>
        <v>2245.8000000000002</v>
      </c>
      <c r="M266" s="116">
        <f>+H266-L266</f>
        <v>35754.199999999997</v>
      </c>
      <c r="N266" s="116">
        <v>0</v>
      </c>
      <c r="O266" s="116">
        <v>0</v>
      </c>
      <c r="P266" s="118">
        <v>225</v>
      </c>
      <c r="Q266" s="116">
        <f>+P266+N266+L266</f>
        <v>2470.8000000000002</v>
      </c>
      <c r="R266" s="159">
        <f>+H266-Q266</f>
        <v>35529.199999999997</v>
      </c>
    </row>
    <row r="267" spans="1:19" s="114" customFormat="1" ht="39.950000000000003" customHeight="1" x14ac:dyDescent="0.2">
      <c r="A267" s="152">
        <f>+A266+1</f>
        <v>116</v>
      </c>
      <c r="B267" s="116" t="s">
        <v>543</v>
      </c>
      <c r="C267" s="130" t="s">
        <v>334</v>
      </c>
      <c r="D267" s="153" t="s">
        <v>105</v>
      </c>
      <c r="E267" s="153" t="s">
        <v>178</v>
      </c>
      <c r="F267" s="174" t="s">
        <v>614</v>
      </c>
      <c r="G267" s="174" t="s">
        <v>645</v>
      </c>
      <c r="H267" s="159">
        <v>50000</v>
      </c>
      <c r="I267" s="118">
        <f>H267*2.87%</f>
        <v>1435</v>
      </c>
      <c r="J267" s="118">
        <f>+H267*3.04%</f>
        <v>1520</v>
      </c>
      <c r="K267" s="118"/>
      <c r="L267" s="116">
        <f>+J267+I267+K267</f>
        <v>2955</v>
      </c>
      <c r="M267" s="116">
        <f>+H267-L267</f>
        <v>47045</v>
      </c>
      <c r="N267" s="116">
        <v>0</v>
      </c>
      <c r="O267" s="116"/>
      <c r="P267" s="155">
        <v>1290.29</v>
      </c>
      <c r="Q267" s="116">
        <f>+P267+N267+L267</f>
        <v>4245.29</v>
      </c>
      <c r="R267" s="155">
        <f>+H267-Q267</f>
        <v>45754.71</v>
      </c>
    </row>
    <row r="268" spans="1:19" ht="39.950000000000003" customHeight="1" x14ac:dyDescent="0.2">
      <c r="A268" s="366" t="s">
        <v>99</v>
      </c>
      <c r="B268" s="367"/>
      <c r="C268" s="100"/>
      <c r="D268" s="100"/>
      <c r="E268" s="100"/>
      <c r="F268" s="323"/>
      <c r="G268" s="323"/>
      <c r="H268" s="101">
        <f>SUM(H265:H267)</f>
        <v>178000</v>
      </c>
      <c r="I268" s="101">
        <f t="shared" ref="I268:R268" si="133">SUM(I265:I267)</f>
        <v>5108.6000000000004</v>
      </c>
      <c r="J268" s="101">
        <f t="shared" si="133"/>
        <v>5411.2</v>
      </c>
      <c r="K268" s="101">
        <f t="shared" si="133"/>
        <v>0</v>
      </c>
      <c r="L268" s="101">
        <f t="shared" si="133"/>
        <v>10519.8</v>
      </c>
      <c r="M268" s="101">
        <f t="shared" si="133"/>
        <v>167480.20000000001</v>
      </c>
      <c r="N268" s="101">
        <f t="shared" si="133"/>
        <v>9753.1872916666671</v>
      </c>
      <c r="O268" s="101">
        <f t="shared" si="133"/>
        <v>0</v>
      </c>
      <c r="P268" s="101">
        <f t="shared" si="133"/>
        <v>16805.580000000002</v>
      </c>
      <c r="Q268" s="101">
        <f t="shared" si="133"/>
        <v>37078.567291666674</v>
      </c>
      <c r="R268" s="101">
        <f t="shared" si="133"/>
        <v>140921.43270833333</v>
      </c>
      <c r="S268" s="348"/>
    </row>
    <row r="269" spans="1:19" ht="39.950000000000003" customHeight="1" thickBot="1" x14ac:dyDescent="0.25">
      <c r="A269" s="168"/>
      <c r="B269" s="168"/>
      <c r="C269" s="168"/>
      <c r="D269" s="168"/>
      <c r="E269" s="168"/>
      <c r="F269" s="173"/>
      <c r="G269" s="173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</row>
    <row r="270" spans="1:19" ht="39.950000000000003" customHeight="1" thickBot="1" x14ac:dyDescent="0.25">
      <c r="A270" s="171" t="s">
        <v>171</v>
      </c>
      <c r="B270" s="172"/>
      <c r="C270" s="172"/>
      <c r="D270" s="172"/>
      <c r="E270" s="172"/>
      <c r="F270" s="185"/>
      <c r="G270" s="185"/>
      <c r="H270" s="172"/>
      <c r="I270" s="172"/>
      <c r="J270" s="172"/>
      <c r="K270" s="172"/>
      <c r="L270" s="172"/>
      <c r="M270" s="172"/>
      <c r="N270" s="172"/>
      <c r="O270" s="172"/>
      <c r="P270" s="172"/>
      <c r="Q270" s="172"/>
      <c r="R270" s="172"/>
    </row>
    <row r="271" spans="1:19" ht="39.950000000000003" customHeight="1" x14ac:dyDescent="0.2">
      <c r="A271" s="156">
        <f>+A267+1</f>
        <v>117</v>
      </c>
      <c r="B271" s="141" t="s">
        <v>304</v>
      </c>
      <c r="C271" s="103" t="s">
        <v>334</v>
      </c>
      <c r="D271" s="139" t="s">
        <v>495</v>
      </c>
      <c r="E271" s="174" t="s">
        <v>178</v>
      </c>
      <c r="F271" s="174" t="s">
        <v>603</v>
      </c>
      <c r="G271" s="174" t="s">
        <v>643</v>
      </c>
      <c r="H271" s="155">
        <v>100000</v>
      </c>
      <c r="I271" s="118">
        <f>H271*2.87%</f>
        <v>2870</v>
      </c>
      <c r="J271" s="118">
        <f>+H271*3.04%</f>
        <v>3040</v>
      </c>
      <c r="K271" s="118"/>
      <c r="L271" s="118">
        <f>+J271+I271+K271</f>
        <v>5910</v>
      </c>
      <c r="M271" s="118">
        <f>+H271-L271</f>
        <v>94090</v>
      </c>
      <c r="N271" s="116">
        <f>+IF(M271*12&lt;=416220.01,0,IF(M271*12&lt;=624329.01,(((M271*12-416220.01)*0.15)/12),IF((M271*12&lt;=867123.01),(31216+0.2*(M271*12-624329.01))/12,((79776+0.25*(M271*12-867123.01))/12))))</f>
        <v>12105.437291666667</v>
      </c>
      <c r="O271" s="118"/>
      <c r="P271" s="155">
        <v>2963</v>
      </c>
      <c r="Q271" s="118">
        <f>+P271+N271+L271</f>
        <v>20978.437291666669</v>
      </c>
      <c r="R271" s="155">
        <f>+H271-Q271</f>
        <v>79021.562708333338</v>
      </c>
    </row>
    <row r="272" spans="1:19" ht="39.950000000000003" customHeight="1" x14ac:dyDescent="0.2">
      <c r="A272" s="366" t="s">
        <v>99</v>
      </c>
      <c r="B272" s="367"/>
      <c r="C272" s="100"/>
      <c r="D272" s="100"/>
      <c r="E272" s="100"/>
      <c r="F272" s="323"/>
      <c r="G272" s="323"/>
      <c r="H272" s="101">
        <f>+H271</f>
        <v>100000</v>
      </c>
      <c r="I272" s="101">
        <f t="shared" ref="I272:Q272" si="134">+I271</f>
        <v>2870</v>
      </c>
      <c r="J272" s="101">
        <f t="shared" si="134"/>
        <v>3040</v>
      </c>
      <c r="K272" s="101">
        <f t="shared" si="134"/>
        <v>0</v>
      </c>
      <c r="L272" s="101">
        <f t="shared" si="134"/>
        <v>5910</v>
      </c>
      <c r="M272" s="101">
        <f t="shared" si="134"/>
        <v>94090</v>
      </c>
      <c r="N272" s="101">
        <f t="shared" si="134"/>
        <v>12105.437291666667</v>
      </c>
      <c r="O272" s="101">
        <f t="shared" si="134"/>
        <v>0</v>
      </c>
      <c r="P272" s="101">
        <f t="shared" si="134"/>
        <v>2963</v>
      </c>
      <c r="Q272" s="101">
        <f t="shared" si="134"/>
        <v>20978.437291666669</v>
      </c>
      <c r="R272" s="101">
        <f>+R271</f>
        <v>79021.562708333338</v>
      </c>
      <c r="S272" s="348"/>
    </row>
    <row r="273" spans="1:18" ht="39.950000000000003" customHeight="1" thickBot="1" x14ac:dyDescent="0.25">
      <c r="D273" s="192"/>
      <c r="E273" s="192"/>
      <c r="F273" s="334"/>
      <c r="G273" s="334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</row>
    <row r="274" spans="1:18" ht="39.950000000000003" customHeight="1" thickBot="1" x14ac:dyDescent="0.25">
      <c r="A274" s="171" t="s">
        <v>323</v>
      </c>
      <c r="B274" s="172"/>
      <c r="C274" s="172"/>
      <c r="D274" s="172"/>
      <c r="E274" s="198"/>
      <c r="F274" s="338"/>
      <c r="G274" s="338"/>
      <c r="H274" s="199">
        <f t="shared" ref="H274:R274" si="135">+H11+H20+H26+H35+H45+H53+H58+H62+H66+H74+H81+H88+H93+H97+H101+H108+H112+H115+H120+H123+H129+H145+H149+H155+H160+H165+H170+H174+H183+H187+H195+H200+H204+H213+H219+H226+H230+H234+H238+H242+H246+H249+H254+H258+H262+H268+H272+H140+H49+H70+H134</f>
        <v>11813000</v>
      </c>
      <c r="I274" s="199">
        <f t="shared" si="135"/>
        <v>339033.1</v>
      </c>
      <c r="J274" s="199">
        <f t="shared" si="135"/>
        <v>359115.2</v>
      </c>
      <c r="K274" s="199">
        <f t="shared" si="135"/>
        <v>71031.799999999988</v>
      </c>
      <c r="L274" s="199">
        <f t="shared" si="135"/>
        <v>769180.10000000009</v>
      </c>
      <c r="M274" s="199">
        <f t="shared" si="135"/>
        <v>11043819.900000002</v>
      </c>
      <c r="N274" s="199">
        <f t="shared" si="135"/>
        <v>1313700.6857499995</v>
      </c>
      <c r="O274" s="199">
        <f t="shared" si="135"/>
        <v>0</v>
      </c>
      <c r="P274" s="199">
        <f t="shared" si="135"/>
        <v>365628.04</v>
      </c>
      <c r="Q274" s="199">
        <f t="shared" si="135"/>
        <v>2448508.8257500017</v>
      </c>
      <c r="R274" s="199">
        <f t="shared" si="135"/>
        <v>9089856.3011249993</v>
      </c>
    </row>
    <row r="275" spans="1:18" ht="39.950000000000003" customHeight="1" x14ac:dyDescent="0.2">
      <c r="H275" s="296"/>
      <c r="I275"/>
      <c r="K275" s="201"/>
      <c r="R275" s="312"/>
    </row>
    <row r="276" spans="1:18" ht="39.950000000000003" customHeight="1" x14ac:dyDescent="0.2">
      <c r="H276" s="295"/>
      <c r="I276"/>
      <c r="R276" s="201"/>
    </row>
    <row r="277" spans="1:18" ht="39.950000000000003" customHeight="1" thickBot="1" x14ac:dyDescent="0.25">
      <c r="B277" s="351" t="s">
        <v>618</v>
      </c>
      <c r="C277" s="351"/>
      <c r="D277" s="200"/>
      <c r="E277" s="356"/>
      <c r="F277" s="356"/>
      <c r="G277" s="200"/>
      <c r="H277" s="202"/>
    </row>
    <row r="278" spans="1:18" ht="39.950000000000003" customHeight="1" x14ac:dyDescent="0.2">
      <c r="B278" s="350" t="s">
        <v>632</v>
      </c>
      <c r="C278" s="350"/>
      <c r="D278" s="200"/>
      <c r="E278" s="357"/>
      <c r="F278" s="357"/>
      <c r="G278" s="200"/>
    </row>
    <row r="64883" spans="2:2" ht="39.950000000000003" customHeight="1" x14ac:dyDescent="0.2">
      <c r="B64883" s="144">
        <f>SUM(B7:B64882)</f>
        <v>0</v>
      </c>
    </row>
    <row r="64885" spans="2:2" ht="39.950000000000003" customHeight="1" x14ac:dyDescent="0.2">
      <c r="B64885" s="144">
        <f>SUM(B64883)</f>
        <v>0</v>
      </c>
    </row>
    <row r="1048211" spans="17:17" ht="39.950000000000003" customHeight="1" x14ac:dyDescent="0.2">
      <c r="Q1048211" s="123" t="e">
        <f>SUM(#REF!)</f>
        <v>#REF!</v>
      </c>
    </row>
  </sheetData>
  <mergeCells count="59">
    <mergeCell ref="A45:B45"/>
    <mergeCell ref="A53:B53"/>
    <mergeCell ref="A58:B58"/>
    <mergeCell ref="A66:B66"/>
    <mergeCell ref="A74:B74"/>
    <mergeCell ref="A62:B62"/>
    <mergeCell ref="A49:B49"/>
    <mergeCell ref="A70:B70"/>
    <mergeCell ref="A11:B11"/>
    <mergeCell ref="A35:B35"/>
    <mergeCell ref="A2:R2"/>
    <mergeCell ref="A3:R3"/>
    <mergeCell ref="A4:R4"/>
    <mergeCell ref="A26:B26"/>
    <mergeCell ref="A20:B20"/>
    <mergeCell ref="I6:L6"/>
    <mergeCell ref="A183:B183"/>
    <mergeCell ref="A213:B213"/>
    <mergeCell ref="A81:B81"/>
    <mergeCell ref="A88:B88"/>
    <mergeCell ref="A93:B93"/>
    <mergeCell ref="A101:B101"/>
    <mergeCell ref="A97:B97"/>
    <mergeCell ref="A108:B108"/>
    <mergeCell ref="A112:B112"/>
    <mergeCell ref="A120:B120"/>
    <mergeCell ref="A129:B129"/>
    <mergeCell ref="A140:B140"/>
    <mergeCell ref="A123:B123"/>
    <mergeCell ref="A115:B115"/>
    <mergeCell ref="A134:B134"/>
    <mergeCell ref="A219:B219"/>
    <mergeCell ref="A204:B204"/>
    <mergeCell ref="A246:B246"/>
    <mergeCell ref="A195:B195"/>
    <mergeCell ref="A200:B200"/>
    <mergeCell ref="E277:F277"/>
    <mergeCell ref="E278:F278"/>
    <mergeCell ref="A145:B145"/>
    <mergeCell ref="A242:B242"/>
    <mergeCell ref="A226:B226"/>
    <mergeCell ref="A230:B230"/>
    <mergeCell ref="A187:B187"/>
    <mergeCell ref="A149:B149"/>
    <mergeCell ref="A249:B249"/>
    <mergeCell ref="A234:B234"/>
    <mergeCell ref="A238:B238"/>
    <mergeCell ref="A155:B155"/>
    <mergeCell ref="A160:B160"/>
    <mergeCell ref="A170:B170"/>
    <mergeCell ref="A165:B165"/>
    <mergeCell ref="A174:B174"/>
    <mergeCell ref="A254:B254"/>
    <mergeCell ref="A258:B258"/>
    <mergeCell ref="B277:C277"/>
    <mergeCell ref="B278:C278"/>
    <mergeCell ref="A272:B272"/>
    <mergeCell ref="A262:B262"/>
    <mergeCell ref="A268:B268"/>
  </mergeCells>
  <phoneticPr fontId="19" type="noConversion"/>
  <pageMargins left="0.15748031496062992" right="0.15748031496062992" top="0.15748031496062992" bottom="0.17" header="0.15748031496062992" footer="0.15748031496062992"/>
  <pageSetup paperSize="5" scale="46" fitToHeight="0" orientation="landscape" r:id="rId1"/>
  <rowBreaks count="11" manualBreakCount="11">
    <brk id="31" max="17" man="1"/>
    <brk id="56" max="17" man="1"/>
    <brk id="79" max="17" man="1"/>
    <brk id="104" max="17" man="1"/>
    <brk id="127" max="17" man="1"/>
    <brk id="150" max="17" man="1"/>
    <brk id="174" max="17" man="1"/>
    <brk id="195" max="17" man="1"/>
    <brk id="219" max="17" man="1"/>
    <brk id="242" max="17" man="1"/>
    <brk id="262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F6AE-B7EA-4DD9-ABA0-965AC9C19624}">
  <sheetPr>
    <pageSetUpPr fitToPage="1"/>
  </sheetPr>
  <dimension ref="B1:L999968"/>
  <sheetViews>
    <sheetView showGridLines="0" view="pageBreakPreview" zoomScale="60" zoomScaleNormal="82" workbookViewId="0">
      <pane xSplit="3" ySplit="6" topLeftCell="D93" activePane="bottomRight" state="frozen"/>
      <selection pane="topRight" activeCell="C1" sqref="C1"/>
      <selection pane="bottomLeft" activeCell="A9" sqref="A9"/>
      <selection pane="bottomRight" activeCell="A90" sqref="A90:XFD90"/>
    </sheetView>
  </sheetViews>
  <sheetFormatPr baseColWidth="10" defaultColWidth="11.42578125" defaultRowHeight="20.100000000000001" customHeight="1" x14ac:dyDescent="0.2"/>
  <cols>
    <col min="1" max="1" width="1.85546875" style="1" customWidth="1"/>
    <col min="2" max="2" width="6.42578125" style="3" customWidth="1"/>
    <col min="3" max="3" width="46.42578125" style="12" customWidth="1"/>
    <col min="4" max="4" width="9.85546875" style="3" customWidth="1"/>
    <col min="5" max="5" width="42.7109375" style="12" customWidth="1"/>
    <col min="6" max="6" width="30" style="89" customWidth="1"/>
    <col min="7" max="7" width="20.7109375" style="2" customWidth="1"/>
    <col min="8" max="9" width="17.7109375" style="1" customWidth="1"/>
    <col min="10" max="10" width="24.42578125" style="1" customWidth="1"/>
    <col min="11" max="11" width="24.28515625" style="1" customWidth="1"/>
    <col min="12" max="12" width="24.140625" style="1" customWidth="1"/>
    <col min="13" max="16384" width="11.42578125" style="1"/>
  </cols>
  <sheetData>
    <row r="1" spans="2:12" ht="20.100000000000001" customHeight="1" x14ac:dyDescent="0.35">
      <c r="B1" s="391" t="s">
        <v>324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</row>
    <row r="2" spans="2:12" ht="20.100000000000001" customHeight="1" x14ac:dyDescent="0.35">
      <c r="B2" s="392" t="s">
        <v>339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</row>
    <row r="3" spans="2:12" ht="20.100000000000001" customHeight="1" x14ac:dyDescent="0.3">
      <c r="B3" s="393" t="s">
        <v>661</v>
      </c>
      <c r="C3" s="393"/>
      <c r="D3" s="393"/>
      <c r="E3" s="393"/>
      <c r="F3" s="393"/>
      <c r="G3" s="393"/>
      <c r="H3" s="393"/>
      <c r="I3" s="393"/>
      <c r="J3" s="393"/>
      <c r="K3" s="393"/>
      <c r="L3" s="393"/>
    </row>
    <row r="4" spans="2:12" ht="20.100000000000001" customHeight="1" thickBot="1" x14ac:dyDescent="0.35">
      <c r="B4" s="393"/>
      <c r="C4" s="393"/>
      <c r="D4" s="6"/>
      <c r="E4" s="11"/>
      <c r="F4" s="85"/>
      <c r="G4" s="6"/>
    </row>
    <row r="5" spans="2:12" ht="20.100000000000001" customHeight="1" thickBot="1" x14ac:dyDescent="0.3">
      <c r="B5" s="15"/>
      <c r="C5" s="16"/>
      <c r="D5" s="15"/>
      <c r="E5" s="16"/>
      <c r="F5" s="86"/>
      <c r="G5" s="17"/>
      <c r="H5" s="372" t="s">
        <v>95</v>
      </c>
      <c r="I5" s="374"/>
      <c r="J5" s="18"/>
      <c r="K5" s="18"/>
      <c r="L5" s="18"/>
    </row>
    <row r="6" spans="2:12" s="7" customFormat="1" ht="36.75" customHeight="1" thickBot="1" x14ac:dyDescent="0.3">
      <c r="B6" s="19" t="s">
        <v>0</v>
      </c>
      <c r="C6" s="19" t="s">
        <v>292</v>
      </c>
      <c r="D6" s="19" t="s">
        <v>336</v>
      </c>
      <c r="E6" s="19" t="s">
        <v>101</v>
      </c>
      <c r="F6" s="92" t="s">
        <v>89</v>
      </c>
      <c r="G6" s="19" t="s">
        <v>98</v>
      </c>
      <c r="H6" s="20" t="s">
        <v>1</v>
      </c>
      <c r="I6" s="20" t="s">
        <v>2</v>
      </c>
      <c r="J6" s="21" t="s">
        <v>90</v>
      </c>
      <c r="K6" s="21" t="s">
        <v>3</v>
      </c>
      <c r="L6" s="21" t="s">
        <v>91</v>
      </c>
    </row>
    <row r="7" spans="2:12" s="25" customFormat="1" ht="20.100000000000001" customHeight="1" thickBot="1" x14ac:dyDescent="0.3">
      <c r="B7" s="385" t="s">
        <v>148</v>
      </c>
      <c r="C7" s="386"/>
      <c r="D7" s="386"/>
      <c r="E7" s="386"/>
      <c r="F7" s="386"/>
      <c r="G7" s="386"/>
      <c r="H7" s="386"/>
      <c r="I7" s="386"/>
      <c r="J7" s="386"/>
      <c r="K7" s="386"/>
      <c r="L7" s="387"/>
    </row>
    <row r="8" spans="2:12" s="25" customFormat="1" ht="28.5" customHeight="1" x14ac:dyDescent="0.25">
      <c r="B8" s="22">
        <f>1</f>
        <v>1</v>
      </c>
      <c r="C8" s="54" t="s">
        <v>112</v>
      </c>
      <c r="D8" s="22" t="s">
        <v>335</v>
      </c>
      <c r="E8" s="55" t="s">
        <v>361</v>
      </c>
      <c r="F8" s="60" t="s">
        <v>96</v>
      </c>
      <c r="G8" s="56">
        <v>19500</v>
      </c>
      <c r="H8" s="56">
        <v>559.64999999999964</v>
      </c>
      <c r="I8" s="53">
        <v>592.79999999999995</v>
      </c>
      <c r="J8" s="56">
        <v>4586.8900000000003</v>
      </c>
      <c r="K8" s="53">
        <f>SUM(H8:J8)</f>
        <v>5739.34</v>
      </c>
      <c r="L8" s="44">
        <f>+G8-K8</f>
        <v>13760.66</v>
      </c>
    </row>
    <row r="9" spans="2:12" s="25" customFormat="1" ht="20.100000000000001" customHeight="1" x14ac:dyDescent="0.25">
      <c r="B9" s="375" t="s">
        <v>99</v>
      </c>
      <c r="C9" s="376"/>
      <c r="D9" s="376"/>
      <c r="E9" s="376"/>
      <c r="F9" s="376"/>
      <c r="G9" s="23">
        <f>SUM(G8)</f>
        <v>19500</v>
      </c>
      <c r="H9" s="23">
        <f t="shared" ref="H9:L9" si="0">SUM(H8)</f>
        <v>559.64999999999964</v>
      </c>
      <c r="I9" s="23">
        <f t="shared" si="0"/>
        <v>592.79999999999995</v>
      </c>
      <c r="J9" s="23">
        <f t="shared" si="0"/>
        <v>4586.8900000000003</v>
      </c>
      <c r="K9" s="23">
        <f t="shared" si="0"/>
        <v>5739.34</v>
      </c>
      <c r="L9" s="23">
        <f t="shared" si="0"/>
        <v>13760.66</v>
      </c>
    </row>
    <row r="10" spans="2:12" s="26" customFormat="1" ht="20.100000000000001" customHeight="1" thickBot="1" x14ac:dyDescent="0.3">
      <c r="B10" s="34"/>
      <c r="C10" s="34"/>
      <c r="D10" s="34"/>
      <c r="E10" s="34"/>
      <c r="F10" s="93"/>
    </row>
    <row r="11" spans="2:12" s="41" customFormat="1" ht="20.100000000000001" customHeight="1" thickBot="1" x14ac:dyDescent="0.3">
      <c r="B11" s="385" t="s">
        <v>123</v>
      </c>
      <c r="C11" s="386"/>
      <c r="D11" s="386"/>
      <c r="E11" s="386"/>
      <c r="F11" s="386"/>
      <c r="G11" s="386"/>
      <c r="H11" s="386"/>
      <c r="I11" s="386"/>
      <c r="J11" s="386"/>
      <c r="K11" s="386"/>
      <c r="L11" s="387"/>
    </row>
    <row r="12" spans="2:12" s="25" customFormat="1" ht="27" customHeight="1" x14ac:dyDescent="0.25">
      <c r="B12" s="22">
        <f>+B8+1</f>
        <v>2</v>
      </c>
      <c r="C12" s="57" t="s">
        <v>32</v>
      </c>
      <c r="D12" s="58" t="s">
        <v>335</v>
      </c>
      <c r="E12" s="59" t="s">
        <v>357</v>
      </c>
      <c r="F12" s="60" t="s">
        <v>97</v>
      </c>
      <c r="G12" s="43">
        <v>53000</v>
      </c>
      <c r="H12" s="43">
        <f>+G12*2.87%</f>
        <v>1521.1</v>
      </c>
      <c r="I12" s="43">
        <f>+G12*3.04%</f>
        <v>1611.2</v>
      </c>
      <c r="J12" s="53">
        <v>12466.93</v>
      </c>
      <c r="K12" s="43">
        <f>SUM(H12:J12)</f>
        <v>15599.23</v>
      </c>
      <c r="L12" s="44">
        <f>+G12-K12</f>
        <v>37400.770000000004</v>
      </c>
    </row>
    <row r="13" spans="2:12" s="25" customFormat="1" ht="20.100000000000001" customHeight="1" x14ac:dyDescent="0.25">
      <c r="B13" s="375" t="s">
        <v>99</v>
      </c>
      <c r="C13" s="376"/>
      <c r="D13" s="376"/>
      <c r="E13" s="376"/>
      <c r="F13" s="377"/>
      <c r="G13" s="23">
        <f>+G12</f>
        <v>53000</v>
      </c>
      <c r="H13" s="23">
        <f t="shared" ref="H13:L13" si="1">+H12</f>
        <v>1521.1</v>
      </c>
      <c r="I13" s="23">
        <f t="shared" si="1"/>
        <v>1611.2</v>
      </c>
      <c r="J13" s="23">
        <f t="shared" si="1"/>
        <v>12466.93</v>
      </c>
      <c r="K13" s="23">
        <f t="shared" si="1"/>
        <v>15599.23</v>
      </c>
      <c r="L13" s="23">
        <f t="shared" si="1"/>
        <v>37400.770000000004</v>
      </c>
    </row>
    <row r="14" spans="2:12" s="25" customFormat="1" ht="20.100000000000001" customHeight="1" thickBot="1" x14ac:dyDescent="0.3">
      <c r="B14" s="34"/>
      <c r="C14" s="34"/>
      <c r="D14" s="34"/>
      <c r="E14" s="34"/>
      <c r="F14" s="93"/>
      <c r="G14" s="51"/>
      <c r="H14" s="51"/>
      <c r="I14" s="51"/>
      <c r="J14" s="51"/>
      <c r="K14" s="51"/>
      <c r="L14" s="51"/>
    </row>
    <row r="15" spans="2:12" s="41" customFormat="1" ht="20.100000000000001" customHeight="1" thickBot="1" x14ac:dyDescent="0.3">
      <c r="B15" s="385" t="s">
        <v>204</v>
      </c>
      <c r="C15" s="386"/>
      <c r="D15" s="386"/>
      <c r="E15" s="386"/>
      <c r="F15" s="386"/>
      <c r="G15" s="386"/>
      <c r="H15" s="386"/>
      <c r="I15" s="386"/>
      <c r="J15" s="386"/>
      <c r="K15" s="386"/>
      <c r="L15" s="387"/>
    </row>
    <row r="16" spans="2:12" s="25" customFormat="1" ht="27" customHeight="1" x14ac:dyDescent="0.25">
      <c r="B16" s="42">
        <f>+B12+1</f>
        <v>3</v>
      </c>
      <c r="C16" s="57" t="s">
        <v>40</v>
      </c>
      <c r="D16" s="58" t="s">
        <v>335</v>
      </c>
      <c r="E16" s="59" t="s">
        <v>150</v>
      </c>
      <c r="F16" s="60" t="s">
        <v>97</v>
      </c>
      <c r="G16" s="53">
        <v>63500</v>
      </c>
      <c r="H16" s="43">
        <v>1822.45</v>
      </c>
      <c r="I16" s="43">
        <v>1930.4</v>
      </c>
      <c r="J16" s="53">
        <v>14936.78</v>
      </c>
      <c r="K16" s="43">
        <f>SUM(H16:J16)</f>
        <v>18689.63</v>
      </c>
      <c r="L16" s="44">
        <f>+G16-K16</f>
        <v>44810.369999999995</v>
      </c>
    </row>
    <row r="17" spans="2:12" s="25" customFormat="1" ht="20.100000000000001" customHeight="1" x14ac:dyDescent="0.25">
      <c r="B17" s="375" t="s">
        <v>99</v>
      </c>
      <c r="C17" s="376"/>
      <c r="D17" s="376"/>
      <c r="E17" s="376"/>
      <c r="F17" s="377"/>
      <c r="G17" s="23">
        <f t="shared" ref="G17:L17" si="2">SUM(G16:G16)</f>
        <v>63500</v>
      </c>
      <c r="H17" s="23">
        <f t="shared" si="2"/>
        <v>1822.45</v>
      </c>
      <c r="I17" s="23">
        <f t="shared" si="2"/>
        <v>1930.4</v>
      </c>
      <c r="J17" s="23">
        <f t="shared" si="2"/>
        <v>14936.78</v>
      </c>
      <c r="K17" s="23">
        <f t="shared" si="2"/>
        <v>18689.63</v>
      </c>
      <c r="L17" s="23">
        <f t="shared" si="2"/>
        <v>44810.369999999995</v>
      </c>
    </row>
    <row r="18" spans="2:12" s="25" customFormat="1" ht="20.100000000000001" customHeight="1" thickBot="1" x14ac:dyDescent="0.3">
      <c r="B18" s="34"/>
      <c r="C18" s="34"/>
      <c r="D18" s="34"/>
      <c r="E18" s="34"/>
      <c r="F18" s="93"/>
      <c r="G18" s="26"/>
      <c r="H18" s="26"/>
      <c r="I18" s="26"/>
      <c r="J18" s="26"/>
      <c r="K18" s="26"/>
      <c r="L18" s="26"/>
    </row>
    <row r="19" spans="2:12" s="25" customFormat="1" ht="20.100000000000001" customHeight="1" thickBot="1" x14ac:dyDescent="0.3">
      <c r="B19" s="385" t="s">
        <v>467</v>
      </c>
      <c r="C19" s="386"/>
      <c r="D19" s="386"/>
      <c r="E19" s="386"/>
      <c r="F19" s="386"/>
      <c r="G19" s="386"/>
      <c r="H19" s="386"/>
      <c r="I19" s="386"/>
      <c r="J19" s="386"/>
      <c r="K19" s="386"/>
      <c r="L19" s="387"/>
    </row>
    <row r="20" spans="2:12" s="51" customFormat="1" ht="27.75" customHeight="1" x14ac:dyDescent="0.25">
      <c r="B20" s="42">
        <f>+B16+1</f>
        <v>4</v>
      </c>
      <c r="C20" s="57" t="s">
        <v>466</v>
      </c>
      <c r="D20" s="58" t="s">
        <v>335</v>
      </c>
      <c r="E20" s="59" t="s">
        <v>35</v>
      </c>
      <c r="F20" s="60" t="s">
        <v>97</v>
      </c>
      <c r="G20" s="53">
        <v>20000</v>
      </c>
      <c r="H20" s="43">
        <f>+G20*2.87%</f>
        <v>574</v>
      </c>
      <c r="I20" s="43">
        <f>+G20*3.04%</f>
        <v>608</v>
      </c>
      <c r="J20" s="53">
        <v>3818.3</v>
      </c>
      <c r="K20" s="43">
        <f>SUM(H20:J20)</f>
        <v>5000.3</v>
      </c>
      <c r="L20" s="44">
        <f>+G20-K20</f>
        <v>14999.7</v>
      </c>
    </row>
    <row r="21" spans="2:12" s="25" customFormat="1" ht="20.100000000000001" customHeight="1" thickBot="1" x14ac:dyDescent="0.3">
      <c r="B21" s="375" t="s">
        <v>99</v>
      </c>
      <c r="C21" s="376"/>
      <c r="D21" s="376"/>
      <c r="E21" s="376"/>
      <c r="F21" s="377"/>
      <c r="G21" s="23">
        <f t="shared" ref="G21:L21" si="3">SUM(G20:G20)</f>
        <v>20000</v>
      </c>
      <c r="H21" s="23">
        <f t="shared" si="3"/>
        <v>574</v>
      </c>
      <c r="I21" s="23">
        <f t="shared" si="3"/>
        <v>608</v>
      </c>
      <c r="J21" s="23">
        <f t="shared" si="3"/>
        <v>3818.3</v>
      </c>
      <c r="K21" s="23">
        <f t="shared" si="3"/>
        <v>5000.3</v>
      </c>
      <c r="L21" s="23">
        <f t="shared" si="3"/>
        <v>14999.7</v>
      </c>
    </row>
    <row r="22" spans="2:12" s="25" customFormat="1" ht="20.100000000000001" customHeight="1" thickBot="1" x14ac:dyDescent="0.3">
      <c r="B22" s="385" t="s">
        <v>127</v>
      </c>
      <c r="C22" s="386"/>
      <c r="D22" s="386"/>
      <c r="E22" s="386"/>
      <c r="F22" s="386"/>
      <c r="G22" s="386"/>
      <c r="H22" s="386"/>
      <c r="I22" s="386"/>
      <c r="J22" s="386"/>
      <c r="K22" s="386"/>
      <c r="L22" s="387"/>
    </row>
    <row r="23" spans="2:12" s="25" customFormat="1" ht="33.75" customHeight="1" x14ac:dyDescent="0.25">
      <c r="B23" s="58">
        <f>+B20+1</f>
        <v>5</v>
      </c>
      <c r="C23" s="25" t="s">
        <v>564</v>
      </c>
      <c r="D23" s="25" t="s">
        <v>335</v>
      </c>
      <c r="E23" s="309" t="s">
        <v>565</v>
      </c>
      <c r="F23" s="25" t="s">
        <v>97</v>
      </c>
      <c r="G23" s="53">
        <v>35000</v>
      </c>
      <c r="H23" s="43">
        <f>+G23*2.87%</f>
        <v>1004.5</v>
      </c>
      <c r="I23" s="43">
        <f>+G23*3.04%</f>
        <v>1064</v>
      </c>
      <c r="J23" s="53">
        <v>8130.71</v>
      </c>
      <c r="K23" s="43">
        <v>10301.379999999999</v>
      </c>
      <c r="L23" s="44">
        <f>+G23-K23</f>
        <v>24698.620000000003</v>
      </c>
    </row>
    <row r="24" spans="2:12" s="51" customFormat="1" ht="20.100000000000001" customHeight="1" x14ac:dyDescent="0.25">
      <c r="B24" s="375" t="s">
        <v>99</v>
      </c>
      <c r="C24" s="376"/>
      <c r="D24" s="376"/>
      <c r="E24" s="376"/>
      <c r="F24" s="377"/>
      <c r="G24" s="23">
        <f>+G23</f>
        <v>35000</v>
      </c>
      <c r="H24" s="23">
        <f t="shared" ref="H24:L24" si="4">+H23</f>
        <v>1004.5</v>
      </c>
      <c r="I24" s="23">
        <f t="shared" si="4"/>
        <v>1064</v>
      </c>
      <c r="J24" s="23">
        <f t="shared" si="4"/>
        <v>8130.71</v>
      </c>
      <c r="K24" s="23">
        <f t="shared" si="4"/>
        <v>10301.379999999999</v>
      </c>
      <c r="L24" s="23">
        <f t="shared" si="4"/>
        <v>24698.620000000003</v>
      </c>
    </row>
    <row r="25" spans="2:12" s="25" customFormat="1" ht="20.100000000000001" customHeight="1" thickBot="1" x14ac:dyDescent="0.3">
      <c r="B25" s="30"/>
      <c r="C25" s="28"/>
      <c r="D25" s="30"/>
      <c r="E25" s="29"/>
      <c r="F25" s="87"/>
      <c r="L25" s="24"/>
    </row>
    <row r="26" spans="2:12" s="25" customFormat="1" ht="20.100000000000001" customHeight="1" thickBot="1" x14ac:dyDescent="0.3">
      <c r="B26" s="378" t="s">
        <v>154</v>
      </c>
      <c r="C26" s="379"/>
      <c r="D26" s="379"/>
      <c r="E26" s="379"/>
      <c r="F26" s="379"/>
      <c r="G26" s="379"/>
      <c r="H26" s="379"/>
      <c r="I26" s="379"/>
      <c r="J26" s="379"/>
      <c r="K26" s="379"/>
      <c r="L26" s="380"/>
    </row>
    <row r="27" spans="2:12" s="25" customFormat="1" ht="30" customHeight="1" x14ac:dyDescent="0.25">
      <c r="B27" s="58">
        <f>+B23+1</f>
        <v>6</v>
      </c>
      <c r="C27" s="57" t="s">
        <v>566</v>
      </c>
      <c r="D27" s="58" t="s">
        <v>335</v>
      </c>
      <c r="E27" s="55" t="s">
        <v>208</v>
      </c>
      <c r="F27" s="60" t="s">
        <v>97</v>
      </c>
      <c r="G27" s="53">
        <v>51000</v>
      </c>
      <c r="H27" s="43">
        <f>+G27*2.87%</f>
        <v>1463.7</v>
      </c>
      <c r="I27" s="43">
        <f>+G27*3.04%</f>
        <v>1550.4</v>
      </c>
      <c r="J27" s="43">
        <v>11894.32</v>
      </c>
      <c r="K27" s="43">
        <v>15010.58</v>
      </c>
      <c r="L27" s="44">
        <f>+G27-K27</f>
        <v>35989.42</v>
      </c>
    </row>
    <row r="28" spans="2:12" s="25" customFormat="1" ht="20.100000000000001" customHeight="1" x14ac:dyDescent="0.25">
      <c r="B28" s="375" t="s">
        <v>99</v>
      </c>
      <c r="C28" s="376"/>
      <c r="D28" s="376"/>
      <c r="E28" s="376"/>
      <c r="F28" s="377"/>
      <c r="G28" s="23">
        <f t="shared" ref="G28:L28" si="5">SUM(G27:G27)</f>
        <v>51000</v>
      </c>
      <c r="H28" s="23">
        <f t="shared" si="5"/>
        <v>1463.7</v>
      </c>
      <c r="I28" s="23">
        <f t="shared" si="5"/>
        <v>1550.4</v>
      </c>
      <c r="J28" s="23">
        <f t="shared" si="5"/>
        <v>11894.32</v>
      </c>
      <c r="K28" s="23">
        <f t="shared" si="5"/>
        <v>15010.58</v>
      </c>
      <c r="L28" s="23">
        <f t="shared" si="5"/>
        <v>35989.42</v>
      </c>
    </row>
    <row r="29" spans="2:12" s="26" customFormat="1" ht="20.100000000000001" customHeight="1" thickBot="1" x14ac:dyDescent="0.3">
      <c r="B29" s="34"/>
      <c r="C29" s="34"/>
      <c r="D29" s="34"/>
      <c r="E29" s="34"/>
      <c r="F29" s="93"/>
    </row>
    <row r="30" spans="2:12" s="25" customFormat="1" ht="20.100000000000001" customHeight="1" thickBot="1" x14ac:dyDescent="0.3">
      <c r="B30" s="378" t="s">
        <v>128</v>
      </c>
      <c r="C30" s="379"/>
      <c r="D30" s="379"/>
      <c r="E30" s="379"/>
      <c r="F30" s="379"/>
      <c r="G30" s="379"/>
      <c r="H30" s="379"/>
      <c r="I30" s="379"/>
      <c r="J30" s="379"/>
      <c r="K30" s="379"/>
      <c r="L30" s="380"/>
    </row>
    <row r="31" spans="2:12" s="52" customFormat="1" ht="34.5" customHeight="1" x14ac:dyDescent="0.25">
      <c r="B31" s="42">
        <f>+B27+1</f>
        <v>7</v>
      </c>
      <c r="C31" s="57" t="s">
        <v>45</v>
      </c>
      <c r="D31" s="58" t="s">
        <v>579</v>
      </c>
      <c r="E31" s="55" t="s">
        <v>585</v>
      </c>
      <c r="F31" s="60" t="s">
        <v>165</v>
      </c>
      <c r="G31" s="53">
        <v>10000</v>
      </c>
      <c r="H31" s="43">
        <f>+G31*2.87%</f>
        <v>287</v>
      </c>
      <c r="I31" s="43">
        <f>+G31*3.04%</f>
        <v>304</v>
      </c>
      <c r="J31" s="53">
        <v>1881.8</v>
      </c>
      <c r="K31" s="53">
        <f>SUM(H31:J31)</f>
        <v>2472.8000000000002</v>
      </c>
      <c r="L31" s="44">
        <f>+G31-K31</f>
        <v>7527.2</v>
      </c>
    </row>
    <row r="32" spans="2:12" s="52" customFormat="1" ht="34.5" customHeight="1" x14ac:dyDescent="0.25">
      <c r="B32" s="42">
        <f>+B31+1</f>
        <v>8</v>
      </c>
      <c r="C32" s="57" t="s">
        <v>46</v>
      </c>
      <c r="D32" s="58" t="s">
        <v>335</v>
      </c>
      <c r="E32" s="55" t="s">
        <v>155</v>
      </c>
      <c r="F32" s="60" t="s">
        <v>97</v>
      </c>
      <c r="G32" s="53">
        <v>52000</v>
      </c>
      <c r="H32" s="43">
        <v>1492.4</v>
      </c>
      <c r="I32" s="43">
        <v>1580.8</v>
      </c>
      <c r="J32" s="53">
        <v>12231.7</v>
      </c>
      <c r="K32" s="53">
        <f>SUM(H32:J32)</f>
        <v>15304.900000000001</v>
      </c>
      <c r="L32" s="44">
        <f>+G32-K32</f>
        <v>36695.1</v>
      </c>
    </row>
    <row r="33" spans="2:12" s="25" customFormat="1" ht="20.100000000000001" customHeight="1" x14ac:dyDescent="0.25">
      <c r="B33" s="375" t="s">
        <v>99</v>
      </c>
      <c r="C33" s="376"/>
      <c r="D33" s="376"/>
      <c r="E33" s="376"/>
      <c r="F33" s="377"/>
      <c r="G33" s="23">
        <f t="shared" ref="G33:K33" si="6">SUM(G31:G32)</f>
        <v>62000</v>
      </c>
      <c r="H33" s="23">
        <f t="shared" si="6"/>
        <v>1779.4</v>
      </c>
      <c r="I33" s="23">
        <f t="shared" si="6"/>
        <v>1884.8</v>
      </c>
      <c r="J33" s="23">
        <f t="shared" si="6"/>
        <v>14113.5</v>
      </c>
      <c r="K33" s="23">
        <f t="shared" si="6"/>
        <v>17777.7</v>
      </c>
      <c r="L33" s="23">
        <f>SUM(L31:L32)</f>
        <v>44222.299999999996</v>
      </c>
    </row>
    <row r="34" spans="2:12" s="25" customFormat="1" ht="20.100000000000001" customHeight="1" thickBot="1" x14ac:dyDescent="0.3">
      <c r="B34" s="30"/>
      <c r="C34" s="28"/>
      <c r="D34" s="30"/>
      <c r="E34" s="29"/>
      <c r="F34" s="87"/>
      <c r="L34" s="24"/>
    </row>
    <row r="35" spans="2:12" s="25" customFormat="1" ht="20.100000000000001" customHeight="1" thickBot="1" x14ac:dyDescent="0.3">
      <c r="B35" s="378" t="s">
        <v>129</v>
      </c>
      <c r="C35" s="379"/>
      <c r="D35" s="379"/>
      <c r="E35" s="379"/>
      <c r="F35" s="379"/>
      <c r="G35" s="379"/>
      <c r="H35" s="379"/>
      <c r="I35" s="379"/>
      <c r="J35" s="379"/>
      <c r="K35" s="379"/>
      <c r="L35" s="380"/>
    </row>
    <row r="36" spans="2:12" s="35" customFormat="1" ht="45.6" customHeight="1" x14ac:dyDescent="0.25">
      <c r="B36" s="46">
        <f>+B32+1</f>
        <v>9</v>
      </c>
      <c r="C36" s="72" t="s">
        <v>402</v>
      </c>
      <c r="D36" s="73" t="s">
        <v>335</v>
      </c>
      <c r="E36" s="55" t="s">
        <v>403</v>
      </c>
      <c r="F36" s="88" t="s">
        <v>96</v>
      </c>
      <c r="G36" s="68">
        <v>65000</v>
      </c>
      <c r="H36" s="43">
        <f>+G36*2.87%</f>
        <v>1865.5</v>
      </c>
      <c r="I36" s="43">
        <f>+G36*3.04%</f>
        <v>1976</v>
      </c>
      <c r="J36" s="68">
        <v>15289.63</v>
      </c>
      <c r="K36" s="69">
        <v>19131.13</v>
      </c>
      <c r="L36" s="84">
        <f>+G36-K36</f>
        <v>45868.869999999995</v>
      </c>
    </row>
    <row r="37" spans="2:12" s="25" customFormat="1" ht="29.25" customHeight="1" x14ac:dyDescent="0.25">
      <c r="B37" s="46">
        <f>+B36+1</f>
        <v>10</v>
      </c>
      <c r="C37" s="54" t="s">
        <v>462</v>
      </c>
      <c r="D37" s="22" t="s">
        <v>334</v>
      </c>
      <c r="E37" s="55" t="s">
        <v>118</v>
      </c>
      <c r="F37" s="60" t="s">
        <v>96</v>
      </c>
      <c r="G37" s="56">
        <v>45000</v>
      </c>
      <c r="H37" s="43">
        <f>+G37*2.87%</f>
        <v>1291.5</v>
      </c>
      <c r="I37" s="43">
        <f>+G37*3.04%</f>
        <v>1368</v>
      </c>
      <c r="J37" s="48">
        <v>8604.86</v>
      </c>
      <c r="K37" s="53">
        <f>SUM(H37:J37)</f>
        <v>11264.36</v>
      </c>
      <c r="L37" s="44">
        <f>+G37-K37</f>
        <v>33735.64</v>
      </c>
    </row>
    <row r="38" spans="2:12" s="25" customFormat="1" ht="20.100000000000001" customHeight="1" x14ac:dyDescent="0.25">
      <c r="B38" s="375" t="s">
        <v>99</v>
      </c>
      <c r="C38" s="376"/>
      <c r="D38" s="376"/>
      <c r="E38" s="376"/>
      <c r="F38" s="377"/>
      <c r="G38" s="23">
        <f>SUM(G36:G37)</f>
        <v>110000</v>
      </c>
      <c r="H38" s="23">
        <f t="shared" ref="H38:L38" si="7">SUM(H36:H37)</f>
        <v>3157</v>
      </c>
      <c r="I38" s="23">
        <f t="shared" si="7"/>
        <v>3344</v>
      </c>
      <c r="J38" s="23">
        <f t="shared" si="7"/>
        <v>23894.489999999998</v>
      </c>
      <c r="K38" s="23">
        <f>SUM(K36:K37)</f>
        <v>30395.49</v>
      </c>
      <c r="L38" s="23">
        <f t="shared" si="7"/>
        <v>79604.509999999995</v>
      </c>
    </row>
    <row r="39" spans="2:12" ht="20.100000000000001" customHeight="1" thickBot="1" x14ac:dyDescent="0.3">
      <c r="B39" s="30"/>
      <c r="C39" s="28"/>
      <c r="D39" s="30"/>
      <c r="E39" s="29"/>
      <c r="F39" s="87"/>
      <c r="G39" s="25"/>
      <c r="H39" s="25"/>
      <c r="I39" s="25"/>
      <c r="J39" s="25"/>
      <c r="K39" s="25"/>
      <c r="L39" s="24"/>
    </row>
    <row r="40" spans="2:12" ht="28.5" customHeight="1" thickBot="1" x14ac:dyDescent="0.3">
      <c r="B40" s="378" t="s">
        <v>132</v>
      </c>
      <c r="C40" s="379"/>
      <c r="D40" s="379"/>
      <c r="E40" s="379"/>
      <c r="F40" s="379"/>
      <c r="G40" s="379"/>
      <c r="H40" s="379"/>
      <c r="I40" s="379"/>
      <c r="J40" s="379"/>
      <c r="K40" s="379"/>
      <c r="L40" s="380"/>
    </row>
    <row r="41" spans="2:12" ht="30.75" customHeight="1" x14ac:dyDescent="0.25">
      <c r="B41" s="58">
        <f>+B37+1</f>
        <v>11</v>
      </c>
      <c r="C41" s="57" t="s">
        <v>413</v>
      </c>
      <c r="D41" s="58" t="s">
        <v>335</v>
      </c>
      <c r="E41" s="59" t="s">
        <v>156</v>
      </c>
      <c r="F41" s="88" t="s">
        <v>96</v>
      </c>
      <c r="G41" s="43">
        <v>70000</v>
      </c>
      <c r="H41" s="43">
        <f>+G41*2.87%</f>
        <v>2009</v>
      </c>
      <c r="I41" s="43">
        <f>+G41*3.04%</f>
        <v>2128</v>
      </c>
      <c r="J41" s="48">
        <v>16465.75</v>
      </c>
      <c r="K41" s="43">
        <f>SUM(H41:J41)</f>
        <v>20602.75</v>
      </c>
      <c r="L41" s="44">
        <f>+G41-K41</f>
        <v>49397.25</v>
      </c>
    </row>
    <row r="42" spans="2:12" s="25" customFormat="1" ht="20.100000000000001" customHeight="1" x14ac:dyDescent="0.25">
      <c r="B42" s="375" t="s">
        <v>99</v>
      </c>
      <c r="C42" s="376"/>
      <c r="D42" s="376"/>
      <c r="E42" s="376"/>
      <c r="F42" s="377"/>
      <c r="G42" s="23">
        <f>SUM(G41:G41)</f>
        <v>70000</v>
      </c>
      <c r="H42" s="23">
        <f t="shared" ref="H42:L42" si="8">SUM(H41:H41)</f>
        <v>2009</v>
      </c>
      <c r="I42" s="23">
        <f t="shared" si="8"/>
        <v>2128</v>
      </c>
      <c r="J42" s="23">
        <f t="shared" si="8"/>
        <v>16465.75</v>
      </c>
      <c r="K42" s="23">
        <f t="shared" si="8"/>
        <v>20602.75</v>
      </c>
      <c r="L42" s="23">
        <f t="shared" si="8"/>
        <v>49397.25</v>
      </c>
    </row>
    <row r="43" spans="2:12" s="25" customFormat="1" ht="20.100000000000001" customHeight="1" thickBot="1" x14ac:dyDescent="0.3">
      <c r="B43" s="3"/>
      <c r="C43" s="12"/>
      <c r="D43" s="3"/>
      <c r="E43" s="12"/>
      <c r="F43" s="89"/>
      <c r="G43" s="2"/>
      <c r="H43" s="1"/>
      <c r="I43" s="1"/>
      <c r="J43" s="1"/>
      <c r="K43" s="1"/>
      <c r="L43" s="1"/>
    </row>
    <row r="44" spans="2:12" s="52" customFormat="1" ht="20.100000000000001" customHeight="1" thickBot="1" x14ac:dyDescent="0.3">
      <c r="B44" s="378" t="s">
        <v>134</v>
      </c>
      <c r="C44" s="379"/>
      <c r="D44" s="379"/>
      <c r="E44" s="379"/>
      <c r="F44" s="379"/>
      <c r="G44" s="379"/>
      <c r="H44" s="379"/>
      <c r="I44" s="379"/>
      <c r="J44" s="379"/>
      <c r="K44" s="379"/>
      <c r="L44" s="380"/>
    </row>
    <row r="45" spans="2:12" s="25" customFormat="1" ht="27.75" customHeight="1" x14ac:dyDescent="0.25">
      <c r="B45" s="58">
        <f>+B41+1</f>
        <v>12</v>
      </c>
      <c r="C45" s="57" t="s">
        <v>49</v>
      </c>
      <c r="D45" s="58" t="s">
        <v>335</v>
      </c>
      <c r="E45" s="74" t="s">
        <v>157</v>
      </c>
      <c r="F45" s="60" t="s">
        <v>97</v>
      </c>
      <c r="G45" s="53">
        <v>34750</v>
      </c>
      <c r="H45" s="43">
        <v>997.32499999999982</v>
      </c>
      <c r="I45" s="43">
        <v>1056.4000000000001</v>
      </c>
      <c r="J45" s="43">
        <v>8174.0687499999985</v>
      </c>
      <c r="K45" s="43">
        <f>SUM(H45:J45)</f>
        <v>10227.793749999999</v>
      </c>
      <c r="L45" s="44">
        <f>+G45-K45</f>
        <v>24522.206250000003</v>
      </c>
    </row>
    <row r="46" spans="2:12" s="25" customFormat="1" ht="20.100000000000001" customHeight="1" x14ac:dyDescent="0.25">
      <c r="B46" s="375" t="s">
        <v>99</v>
      </c>
      <c r="C46" s="376"/>
      <c r="D46" s="376"/>
      <c r="E46" s="376"/>
      <c r="F46" s="377"/>
      <c r="G46" s="23">
        <f t="shared" ref="G46:L46" si="9">SUM(G45:G45)</f>
        <v>34750</v>
      </c>
      <c r="H46" s="23">
        <f t="shared" si="9"/>
        <v>997.32499999999982</v>
      </c>
      <c r="I46" s="23">
        <f t="shared" si="9"/>
        <v>1056.4000000000001</v>
      </c>
      <c r="J46" s="23">
        <f t="shared" si="9"/>
        <v>8174.0687499999985</v>
      </c>
      <c r="K46" s="23">
        <f t="shared" si="9"/>
        <v>10227.793749999999</v>
      </c>
      <c r="L46" s="23">
        <f t="shared" si="9"/>
        <v>24522.206250000003</v>
      </c>
    </row>
    <row r="47" spans="2:12" s="35" customFormat="1" ht="20.100000000000001" customHeight="1" thickBot="1" x14ac:dyDescent="0.3">
      <c r="B47" s="34"/>
      <c r="C47" s="34"/>
      <c r="D47" s="34"/>
      <c r="E47" s="34"/>
      <c r="F47" s="34"/>
      <c r="G47" s="2"/>
      <c r="H47" s="1"/>
      <c r="I47" s="1"/>
      <c r="J47" s="1"/>
      <c r="K47" s="1"/>
      <c r="L47" s="1"/>
    </row>
    <row r="48" spans="2:12" s="25" customFormat="1" ht="31.5" customHeight="1" thickBot="1" x14ac:dyDescent="0.3">
      <c r="B48" s="385" t="s">
        <v>567</v>
      </c>
      <c r="C48" s="386"/>
      <c r="D48" s="386"/>
      <c r="E48" s="386"/>
      <c r="F48" s="386"/>
      <c r="G48" s="386"/>
      <c r="H48" s="386"/>
      <c r="I48" s="386"/>
      <c r="J48" s="386"/>
      <c r="K48" s="386"/>
      <c r="L48" s="387"/>
    </row>
    <row r="49" spans="2:12" customFormat="1" ht="33" customHeight="1" x14ac:dyDescent="0.25">
      <c r="B49" s="22">
        <f>+B45+1</f>
        <v>13</v>
      </c>
      <c r="C49" s="54" t="s">
        <v>460</v>
      </c>
      <c r="D49" s="22" t="s">
        <v>335</v>
      </c>
      <c r="E49" s="55" t="s">
        <v>568</v>
      </c>
      <c r="F49" s="60" t="s">
        <v>461</v>
      </c>
      <c r="G49" s="56">
        <v>55000</v>
      </c>
      <c r="H49" s="43">
        <f>+G49*2.87%</f>
        <v>1578.5</v>
      </c>
      <c r="I49" s="43">
        <f>+G49*3.04%</f>
        <v>1672</v>
      </c>
      <c r="J49" s="48">
        <v>12937.374999999998</v>
      </c>
      <c r="K49" s="43">
        <f>SUM(H49:J49)</f>
        <v>16187.874999999998</v>
      </c>
      <c r="L49" s="49">
        <f>+G49-K49</f>
        <v>38812.125</v>
      </c>
    </row>
    <row r="50" spans="2:12" customFormat="1" ht="20.100000000000001" customHeight="1" x14ac:dyDescent="0.25">
      <c r="B50" s="375" t="s">
        <v>99</v>
      </c>
      <c r="C50" s="376"/>
      <c r="D50" s="376"/>
      <c r="E50" s="376"/>
      <c r="F50" s="377"/>
      <c r="G50" s="23">
        <f>SUM(G49)</f>
        <v>55000</v>
      </c>
      <c r="H50" s="23">
        <f t="shared" ref="H50:L50" si="10">SUM(H48:H49)</f>
        <v>1578.5</v>
      </c>
      <c r="I50" s="23">
        <f t="shared" si="10"/>
        <v>1672</v>
      </c>
      <c r="J50" s="23">
        <f t="shared" si="10"/>
        <v>12937.374999999998</v>
      </c>
      <c r="K50" s="23">
        <f t="shared" si="10"/>
        <v>16187.874999999998</v>
      </c>
      <c r="L50" s="23">
        <f t="shared" si="10"/>
        <v>38812.125</v>
      </c>
    </row>
    <row r="51" spans="2:12" customFormat="1" ht="20.100000000000001" customHeight="1" thickBot="1" x14ac:dyDescent="0.3">
      <c r="B51" s="34"/>
      <c r="C51" s="34"/>
      <c r="D51" s="34"/>
      <c r="E51" s="34"/>
      <c r="F51" s="34"/>
      <c r="G51" s="2"/>
      <c r="H51" s="1"/>
      <c r="I51" s="1"/>
      <c r="J51" s="1"/>
      <c r="K51" s="1"/>
      <c r="L51" s="1"/>
    </row>
    <row r="52" spans="2:12" customFormat="1" ht="29.25" customHeight="1" thickBot="1" x14ac:dyDescent="0.3">
      <c r="B52" s="378" t="s">
        <v>138</v>
      </c>
      <c r="C52" s="379"/>
      <c r="D52" s="379"/>
      <c r="E52" s="379"/>
      <c r="F52" s="379"/>
      <c r="G52" s="379"/>
      <c r="H52" s="379"/>
      <c r="I52" s="379"/>
      <c r="J52" s="379"/>
      <c r="K52" s="379"/>
      <c r="L52" s="380"/>
    </row>
    <row r="53" spans="2:12" s="25" customFormat="1" ht="33.6" customHeight="1" x14ac:dyDescent="0.25">
      <c r="B53" s="22">
        <f>+B49+1</f>
        <v>14</v>
      </c>
      <c r="C53" s="54" t="s">
        <v>372</v>
      </c>
      <c r="D53" s="22" t="s">
        <v>334</v>
      </c>
      <c r="E53" s="233" t="s">
        <v>373</v>
      </c>
      <c r="F53" s="60" t="s">
        <v>165</v>
      </c>
      <c r="G53" s="48">
        <v>75000</v>
      </c>
      <c r="H53" s="43">
        <f>+G53*2.87%</f>
        <v>2152.5</v>
      </c>
      <c r="I53" s="43">
        <f>+G53*3.04%</f>
        <v>2280</v>
      </c>
      <c r="J53" s="48">
        <v>17641.88</v>
      </c>
      <c r="K53" s="43">
        <f>SUM(H53:J53)</f>
        <v>22074.38</v>
      </c>
      <c r="L53" s="44">
        <f>+G53-K53</f>
        <v>52925.619999999995</v>
      </c>
    </row>
    <row r="54" spans="2:12" s="35" customFormat="1" ht="20.100000000000001" customHeight="1" x14ac:dyDescent="0.25">
      <c r="B54" s="375" t="s">
        <v>99</v>
      </c>
      <c r="C54" s="376"/>
      <c r="D54" s="376"/>
      <c r="E54" s="376"/>
      <c r="F54" s="377"/>
      <c r="G54" s="23">
        <f t="shared" ref="G54:L54" si="11">SUM(G53:G53)</f>
        <v>75000</v>
      </c>
      <c r="H54" s="23">
        <f t="shared" si="11"/>
        <v>2152.5</v>
      </c>
      <c r="I54" s="23">
        <f t="shared" si="11"/>
        <v>2280</v>
      </c>
      <c r="J54" s="23">
        <f t="shared" si="11"/>
        <v>17641.88</v>
      </c>
      <c r="K54" s="23">
        <f t="shared" si="11"/>
        <v>22074.38</v>
      </c>
      <c r="L54" s="23">
        <f t="shared" si="11"/>
        <v>52925.619999999995</v>
      </c>
    </row>
    <row r="55" spans="2:12" s="31" customFormat="1" ht="20.100000000000001" customHeight="1" thickBot="1" x14ac:dyDescent="0.3">
      <c r="B55"/>
      <c r="C55"/>
      <c r="D55" s="61"/>
      <c r="E55"/>
      <c r="F55" s="85"/>
      <c r="G55"/>
      <c r="H55"/>
      <c r="I55"/>
      <c r="J55"/>
      <c r="K55"/>
      <c r="L55"/>
    </row>
    <row r="56" spans="2:12" s="25" customFormat="1" ht="33" customHeight="1" thickBot="1" x14ac:dyDescent="0.3">
      <c r="B56" s="378" t="s">
        <v>139</v>
      </c>
      <c r="C56" s="379"/>
      <c r="D56" s="379"/>
      <c r="E56" s="379"/>
      <c r="F56" s="379"/>
      <c r="G56" s="379"/>
      <c r="H56" s="379"/>
      <c r="I56" s="379"/>
      <c r="J56" s="379"/>
      <c r="K56" s="379"/>
      <c r="L56" s="380"/>
    </row>
    <row r="57" spans="2:12" s="25" customFormat="1" ht="33" customHeight="1" x14ac:dyDescent="0.25">
      <c r="B57" s="22">
        <f>+B53+1</f>
        <v>15</v>
      </c>
      <c r="C57" s="54" t="s">
        <v>163</v>
      </c>
      <c r="D57" s="22" t="s">
        <v>334</v>
      </c>
      <c r="E57" s="55" t="s">
        <v>220</v>
      </c>
      <c r="F57" s="60" t="s">
        <v>97</v>
      </c>
      <c r="G57" s="48">
        <v>75000</v>
      </c>
      <c r="H57" s="43">
        <f>+G57*2.87%</f>
        <v>2152.5</v>
      </c>
      <c r="I57" s="43">
        <f>+G57*3.04%</f>
        <v>2280</v>
      </c>
      <c r="J57" s="48">
        <v>17641.88</v>
      </c>
      <c r="K57" s="43">
        <f>SUM(H57:J57)</f>
        <v>22074.38</v>
      </c>
      <c r="L57" s="44">
        <f>+G57-K57</f>
        <v>52925.619999999995</v>
      </c>
    </row>
    <row r="58" spans="2:12" s="25" customFormat="1" ht="26.25" customHeight="1" x14ac:dyDescent="0.25">
      <c r="B58" s="22">
        <f>+B57+1</f>
        <v>16</v>
      </c>
      <c r="C58" s="54" t="s">
        <v>14</v>
      </c>
      <c r="D58" s="22" t="s">
        <v>335</v>
      </c>
      <c r="E58" s="55" t="s">
        <v>118</v>
      </c>
      <c r="F58" s="60" t="s">
        <v>96</v>
      </c>
      <c r="G58" s="56">
        <v>40000</v>
      </c>
      <c r="H58" s="43">
        <f>+G58*2.87%</f>
        <v>1148</v>
      </c>
      <c r="I58" s="43">
        <f>+G58*3.04%</f>
        <v>1216</v>
      </c>
      <c r="J58" s="48">
        <v>6735.59</v>
      </c>
      <c r="K58" s="53">
        <v>9130.31</v>
      </c>
      <c r="L58" s="44">
        <f>+G58-K58</f>
        <v>30869.690000000002</v>
      </c>
    </row>
    <row r="59" spans="2:12" s="25" customFormat="1" ht="20.100000000000001" customHeight="1" thickBot="1" x14ac:dyDescent="0.3">
      <c r="B59" s="375" t="s">
        <v>99</v>
      </c>
      <c r="C59" s="376"/>
      <c r="D59" s="376"/>
      <c r="E59" s="376"/>
      <c r="F59" s="377"/>
      <c r="G59" s="23">
        <f>SUM(G57:G58)</f>
        <v>115000</v>
      </c>
      <c r="H59" s="23">
        <f>SUM(H57:H58)</f>
        <v>3300.5</v>
      </c>
      <c r="I59" s="23">
        <f>SUM(I57:I58)</f>
        <v>3496</v>
      </c>
      <c r="J59" s="23">
        <f t="shared" ref="J59:L59" si="12">SUM(J57:J58)</f>
        <v>24377.47</v>
      </c>
      <c r="K59" s="23">
        <f t="shared" si="12"/>
        <v>31204.690000000002</v>
      </c>
      <c r="L59" s="23">
        <f t="shared" si="12"/>
        <v>83795.31</v>
      </c>
    </row>
    <row r="60" spans="2:12" s="35" customFormat="1" ht="20.100000000000001" customHeight="1" thickBot="1" x14ac:dyDescent="0.3">
      <c r="B60" s="378" t="s">
        <v>404</v>
      </c>
      <c r="C60" s="379"/>
      <c r="D60" s="379"/>
      <c r="E60" s="379"/>
      <c r="F60" s="379"/>
      <c r="G60" s="379"/>
      <c r="H60" s="379"/>
      <c r="I60" s="379"/>
      <c r="J60" s="379"/>
      <c r="K60" s="379"/>
      <c r="L60" s="380"/>
    </row>
    <row r="61" spans="2:12" s="35" customFormat="1" ht="31.15" customHeight="1" x14ac:dyDescent="0.25">
      <c r="B61" s="22">
        <f>+B58+1</f>
        <v>17</v>
      </c>
      <c r="C61" s="54" t="s">
        <v>79</v>
      </c>
      <c r="D61" s="22" t="s">
        <v>335</v>
      </c>
      <c r="E61" s="55" t="s">
        <v>405</v>
      </c>
      <c r="F61" s="75" t="s">
        <v>165</v>
      </c>
      <c r="G61" s="56">
        <v>65000</v>
      </c>
      <c r="H61" s="43">
        <f>+G61*2.87%</f>
        <v>1865.5</v>
      </c>
      <c r="I61" s="43">
        <f>+G61*3.04%</f>
        <v>1976</v>
      </c>
      <c r="J61" s="48">
        <v>15289.63</v>
      </c>
      <c r="K61" s="43">
        <f>SUM(H61:J61)</f>
        <v>19131.129999999997</v>
      </c>
      <c r="L61" s="44">
        <f>+G61-K61</f>
        <v>45868.87</v>
      </c>
    </row>
    <row r="62" spans="2:12" ht="20.100000000000001" customHeight="1" x14ac:dyDescent="0.25">
      <c r="B62" s="375" t="s">
        <v>99</v>
      </c>
      <c r="C62" s="376"/>
      <c r="D62" s="376"/>
      <c r="E62" s="376"/>
      <c r="F62" s="377"/>
      <c r="G62" s="23">
        <f t="shared" ref="G62:L62" si="13">SUM(G61:G61)</f>
        <v>65000</v>
      </c>
      <c r="H62" s="23">
        <f t="shared" si="13"/>
        <v>1865.5</v>
      </c>
      <c r="I62" s="23">
        <f t="shared" si="13"/>
        <v>1976</v>
      </c>
      <c r="J62" s="23">
        <f t="shared" si="13"/>
        <v>15289.63</v>
      </c>
      <c r="K62" s="23">
        <f t="shared" si="13"/>
        <v>19131.129999999997</v>
      </c>
      <c r="L62" s="23">
        <f t="shared" si="13"/>
        <v>45868.87</v>
      </c>
    </row>
    <row r="63" spans="2:12" ht="20.100000000000001" customHeight="1" thickBot="1" x14ac:dyDescent="0.25"/>
    <row r="64" spans="2:12" s="35" customFormat="1" ht="20.100000000000001" customHeight="1" thickBot="1" x14ac:dyDescent="0.3">
      <c r="B64" s="378" t="s">
        <v>142</v>
      </c>
      <c r="C64" s="379"/>
      <c r="D64" s="379"/>
      <c r="E64" s="379"/>
      <c r="F64" s="379"/>
      <c r="G64" s="379"/>
      <c r="H64" s="379"/>
      <c r="I64" s="379"/>
      <c r="J64" s="379"/>
      <c r="K64" s="379"/>
      <c r="L64" s="380"/>
    </row>
    <row r="65" spans="2:12" s="31" customFormat="1" ht="31.15" customHeight="1" x14ac:dyDescent="0.25">
      <c r="B65" s="42">
        <f>B61+1</f>
        <v>18</v>
      </c>
      <c r="C65" s="57" t="s">
        <v>226</v>
      </c>
      <c r="D65" s="58" t="s">
        <v>334</v>
      </c>
      <c r="E65" s="59" t="s">
        <v>227</v>
      </c>
      <c r="F65" s="60" t="s">
        <v>97</v>
      </c>
      <c r="G65" s="53">
        <v>28500</v>
      </c>
      <c r="H65" s="48">
        <v>817.94999999999982</v>
      </c>
      <c r="I65" s="48">
        <v>866.40000000000009</v>
      </c>
      <c r="J65" s="48">
        <v>6703.91</v>
      </c>
      <c r="K65" s="43">
        <f>SUM(H65:J65)</f>
        <v>8388.26</v>
      </c>
      <c r="L65" s="44">
        <f>+G65-K65</f>
        <v>20111.739999999998</v>
      </c>
    </row>
    <row r="66" spans="2:12" customFormat="1" ht="20.100000000000001" customHeight="1" x14ac:dyDescent="0.25">
      <c r="B66" s="375" t="s">
        <v>99</v>
      </c>
      <c r="C66" s="376"/>
      <c r="D66" s="376"/>
      <c r="E66" s="376"/>
      <c r="F66" s="377"/>
      <c r="G66" s="23">
        <f t="shared" ref="G66:L66" si="14">SUM(G65:G65)</f>
        <v>28500</v>
      </c>
      <c r="H66" s="23">
        <f t="shared" si="14"/>
        <v>817.94999999999982</v>
      </c>
      <c r="I66" s="23">
        <f t="shared" si="14"/>
        <v>866.40000000000009</v>
      </c>
      <c r="J66" s="23">
        <f t="shared" si="14"/>
        <v>6703.91</v>
      </c>
      <c r="K66" s="23">
        <f t="shared" si="14"/>
        <v>8388.26</v>
      </c>
      <c r="L66" s="23">
        <f t="shared" si="14"/>
        <v>20111.739999999998</v>
      </c>
    </row>
    <row r="67" spans="2:12" customFormat="1" ht="20.100000000000001" customHeight="1" thickBot="1" x14ac:dyDescent="0.3">
      <c r="B67" s="34"/>
      <c r="C67" s="34"/>
      <c r="D67" s="34"/>
      <c r="E67" s="34"/>
      <c r="F67" s="93"/>
      <c r="G67" s="26"/>
      <c r="H67" s="26"/>
      <c r="I67" s="26"/>
      <c r="J67" s="26"/>
      <c r="K67" s="26"/>
      <c r="L67" s="26"/>
    </row>
    <row r="68" spans="2:12" s="35" customFormat="1" ht="27" customHeight="1" thickBot="1" x14ac:dyDescent="0.3">
      <c r="B68" s="385" t="s">
        <v>143</v>
      </c>
      <c r="C68" s="386"/>
      <c r="D68" s="386"/>
      <c r="E68" s="386"/>
      <c r="F68" s="386"/>
      <c r="G68" s="386"/>
      <c r="H68" s="386"/>
      <c r="I68" s="386"/>
      <c r="J68" s="386"/>
      <c r="K68" s="386"/>
      <c r="L68" s="387"/>
    </row>
    <row r="69" spans="2:12" s="31" customFormat="1" ht="33" customHeight="1" x14ac:dyDescent="0.25">
      <c r="B69" s="46">
        <f>+B65+1</f>
        <v>19</v>
      </c>
      <c r="C69" s="54" t="s">
        <v>55</v>
      </c>
      <c r="D69" s="22" t="s">
        <v>335</v>
      </c>
      <c r="E69" s="55" t="s">
        <v>168</v>
      </c>
      <c r="F69" s="60" t="s">
        <v>97</v>
      </c>
      <c r="G69" s="56">
        <v>41500</v>
      </c>
      <c r="H69" s="48">
        <v>1191.0500000000002</v>
      </c>
      <c r="I69" s="48">
        <v>1261.5999999999999</v>
      </c>
      <c r="J69" s="48">
        <v>9761.84</v>
      </c>
      <c r="K69" s="43">
        <f>SUM(H69:J69)</f>
        <v>12214.49</v>
      </c>
      <c r="L69" s="49">
        <f>+G69-K69</f>
        <v>29285.510000000002</v>
      </c>
    </row>
    <row r="70" spans="2:12" customFormat="1" ht="20.100000000000001" customHeight="1" x14ac:dyDescent="0.25">
      <c r="B70" s="375" t="s">
        <v>99</v>
      </c>
      <c r="C70" s="376"/>
      <c r="D70" s="376"/>
      <c r="E70" s="376"/>
      <c r="F70" s="377"/>
      <c r="G70" s="23">
        <f>SUM(G69)</f>
        <v>41500</v>
      </c>
      <c r="H70" s="23">
        <f t="shared" ref="H70:L70" si="15">SUM(H68:H69)</f>
        <v>1191.0500000000002</v>
      </c>
      <c r="I70" s="23">
        <f t="shared" si="15"/>
        <v>1261.5999999999999</v>
      </c>
      <c r="J70" s="23">
        <f t="shared" si="15"/>
        <v>9761.84</v>
      </c>
      <c r="K70" s="23">
        <f t="shared" si="15"/>
        <v>12214.49</v>
      </c>
      <c r="L70" s="23">
        <f t="shared" si="15"/>
        <v>29285.510000000002</v>
      </c>
    </row>
    <row r="71" spans="2:12" customFormat="1" ht="20.100000000000001" customHeight="1" thickBot="1" x14ac:dyDescent="0.3">
      <c r="B71" s="34"/>
      <c r="C71" s="34"/>
      <c r="D71" s="34"/>
      <c r="E71" s="34"/>
      <c r="F71" s="93"/>
      <c r="G71" s="51"/>
      <c r="H71" s="51"/>
      <c r="I71" s="51"/>
      <c r="J71" s="51"/>
      <c r="K71" s="51"/>
      <c r="L71" s="51"/>
    </row>
    <row r="72" spans="2:12" s="35" customFormat="1" ht="35.25" customHeight="1" thickBot="1" x14ac:dyDescent="0.3">
      <c r="B72" s="385" t="s">
        <v>69</v>
      </c>
      <c r="C72" s="386"/>
      <c r="D72" s="386"/>
      <c r="E72" s="386"/>
      <c r="F72" s="386"/>
      <c r="G72" s="386"/>
      <c r="H72" s="386"/>
      <c r="I72" s="386"/>
      <c r="J72" s="386"/>
      <c r="K72" s="386"/>
      <c r="L72" s="387"/>
    </row>
    <row r="73" spans="2:12" s="35" customFormat="1" ht="31.5" customHeight="1" x14ac:dyDescent="0.25">
      <c r="B73" s="22">
        <f>+B69+1</f>
        <v>20</v>
      </c>
      <c r="C73" s="54" t="s">
        <v>9</v>
      </c>
      <c r="D73" s="22" t="s">
        <v>335</v>
      </c>
      <c r="E73" s="55" t="s">
        <v>395</v>
      </c>
      <c r="F73" s="60" t="s">
        <v>165</v>
      </c>
      <c r="G73" s="56">
        <v>5000</v>
      </c>
      <c r="H73" s="48">
        <f>+G73*2.87%</f>
        <v>143.5</v>
      </c>
      <c r="I73" s="48">
        <f>+G73*3.04%</f>
        <v>152</v>
      </c>
      <c r="J73" s="48">
        <v>1176.1300000000001</v>
      </c>
      <c r="K73" s="43">
        <f>SUM(H73:J73)</f>
        <v>1471.63</v>
      </c>
      <c r="L73" s="44">
        <f>+G73-K73</f>
        <v>3528.37</v>
      </c>
    </row>
    <row r="74" spans="2:12" s="35" customFormat="1" ht="20.100000000000001" customHeight="1" x14ac:dyDescent="0.25">
      <c r="B74" s="375" t="s">
        <v>99</v>
      </c>
      <c r="C74" s="376"/>
      <c r="D74" s="376"/>
      <c r="E74" s="376"/>
      <c r="F74" s="377"/>
      <c r="G74" s="23">
        <f t="shared" ref="G74:L74" si="16">SUM(G73:G73)</f>
        <v>5000</v>
      </c>
      <c r="H74" s="23">
        <f t="shared" si="16"/>
        <v>143.5</v>
      </c>
      <c r="I74" s="23">
        <f t="shared" si="16"/>
        <v>152</v>
      </c>
      <c r="J74" s="23">
        <f t="shared" si="16"/>
        <v>1176.1300000000001</v>
      </c>
      <c r="K74" s="23">
        <f t="shared" si="16"/>
        <v>1471.63</v>
      </c>
      <c r="L74" s="23">
        <f t="shared" si="16"/>
        <v>3528.37</v>
      </c>
    </row>
    <row r="75" spans="2:12" s="25" customFormat="1" ht="20.100000000000001" customHeight="1" thickBot="1" x14ac:dyDescent="0.3">
      <c r="B75" s="34"/>
      <c r="C75" s="34"/>
      <c r="D75" s="34"/>
      <c r="E75" s="34"/>
      <c r="F75" s="93"/>
      <c r="G75" s="26"/>
      <c r="H75" s="26"/>
      <c r="I75" s="26"/>
      <c r="J75" s="26"/>
      <c r="K75" s="26"/>
      <c r="L75" s="26"/>
    </row>
    <row r="76" spans="2:12" s="25" customFormat="1" ht="37.5" customHeight="1" thickBot="1" x14ac:dyDescent="0.3">
      <c r="B76" s="378" t="s">
        <v>406</v>
      </c>
      <c r="C76" s="379"/>
      <c r="D76" s="379"/>
      <c r="E76" s="379"/>
      <c r="F76" s="379"/>
      <c r="G76" s="379"/>
      <c r="H76" s="379"/>
      <c r="I76" s="379"/>
      <c r="J76" s="379"/>
      <c r="K76" s="379"/>
      <c r="L76" s="380"/>
    </row>
    <row r="77" spans="2:12" s="25" customFormat="1" ht="29.25" customHeight="1" x14ac:dyDescent="0.25">
      <c r="B77" s="22">
        <f>B73+1</f>
        <v>21</v>
      </c>
      <c r="C77" s="54" t="s">
        <v>407</v>
      </c>
      <c r="D77" s="22" t="s">
        <v>335</v>
      </c>
      <c r="E77" s="55" t="s">
        <v>408</v>
      </c>
      <c r="F77" s="60" t="s">
        <v>165</v>
      </c>
      <c r="G77" s="48">
        <v>95000</v>
      </c>
      <c r="H77" s="43">
        <f>+G77*2.87%</f>
        <v>2726.5</v>
      </c>
      <c r="I77" s="43">
        <f>+G77*3.04%</f>
        <v>2888</v>
      </c>
      <c r="J77" s="76">
        <v>22346.38</v>
      </c>
      <c r="K77" s="43">
        <f>SUM(H77:J77)</f>
        <v>27960.880000000001</v>
      </c>
      <c r="L77" s="44">
        <f>+G77-K77</f>
        <v>67039.12</v>
      </c>
    </row>
    <row r="78" spans="2:12" s="25" customFormat="1" ht="20.100000000000001" customHeight="1" x14ac:dyDescent="0.25">
      <c r="B78" s="46">
        <f>+B77+1</f>
        <v>22</v>
      </c>
      <c r="C78" s="47" t="s">
        <v>422</v>
      </c>
      <c r="D78" s="46" t="s">
        <v>335</v>
      </c>
      <c r="E78" s="50" t="s">
        <v>423</v>
      </c>
      <c r="F78" s="75" t="s">
        <v>97</v>
      </c>
      <c r="G78" s="48">
        <v>30000</v>
      </c>
      <c r="H78" s="43">
        <f>+G78*2.87%</f>
        <v>861</v>
      </c>
      <c r="I78" s="43">
        <f>+G78*3.04%</f>
        <v>912</v>
      </c>
      <c r="J78" s="76">
        <v>5324.24</v>
      </c>
      <c r="K78" s="43">
        <v>7127.96</v>
      </c>
      <c r="L78" s="44">
        <f>+G78-K78</f>
        <v>22872.04</v>
      </c>
    </row>
    <row r="79" spans="2:12" s="25" customFormat="1" ht="20.100000000000001" customHeight="1" x14ac:dyDescent="0.25">
      <c r="B79" s="375" t="s">
        <v>99</v>
      </c>
      <c r="C79" s="376"/>
      <c r="D79" s="376"/>
      <c r="E79" s="376"/>
      <c r="F79" s="377"/>
      <c r="G79" s="23">
        <f>SUM(G77:G78)</f>
        <v>125000</v>
      </c>
      <c r="H79" s="23">
        <f t="shared" ref="H79:L79" si="17">SUM(H77:H78)</f>
        <v>3587.5</v>
      </c>
      <c r="I79" s="23">
        <f t="shared" si="17"/>
        <v>3800</v>
      </c>
      <c r="J79" s="23">
        <f t="shared" si="17"/>
        <v>27670.620000000003</v>
      </c>
      <c r="K79" s="23">
        <f t="shared" si="17"/>
        <v>35088.840000000004</v>
      </c>
      <c r="L79" s="23">
        <f t="shared" si="17"/>
        <v>89911.16</v>
      </c>
    </row>
    <row r="80" spans="2:12" s="25" customFormat="1" ht="20.100000000000001" customHeight="1" thickBot="1" x14ac:dyDescent="0.3">
      <c r="B80" s="34"/>
      <c r="C80" s="34"/>
      <c r="D80" s="34"/>
      <c r="E80" s="34"/>
      <c r="F80" s="93"/>
      <c r="G80" s="26"/>
      <c r="H80" s="26"/>
      <c r="I80" s="26"/>
      <c r="J80" s="26"/>
      <c r="K80" s="26"/>
      <c r="L80" s="26"/>
    </row>
    <row r="81" spans="2:12" s="25" customFormat="1" ht="33.75" customHeight="1" thickBot="1" x14ac:dyDescent="0.3">
      <c r="B81" s="378" t="s">
        <v>70</v>
      </c>
      <c r="C81" s="379"/>
      <c r="D81" s="379"/>
      <c r="E81" s="379"/>
      <c r="F81" s="379"/>
      <c r="G81" s="379"/>
      <c r="H81" s="379"/>
      <c r="I81" s="379"/>
      <c r="J81" s="379"/>
      <c r="K81" s="379"/>
      <c r="L81" s="380"/>
    </row>
    <row r="82" spans="2:12" s="25" customFormat="1" ht="30.75" customHeight="1" x14ac:dyDescent="0.25">
      <c r="B82" s="22">
        <f>+B78+1</f>
        <v>23</v>
      </c>
      <c r="C82" s="54" t="s">
        <v>376</v>
      </c>
      <c r="D82" s="22" t="s">
        <v>335</v>
      </c>
      <c r="E82" s="55" t="s">
        <v>377</v>
      </c>
      <c r="F82" s="60" t="s">
        <v>165</v>
      </c>
      <c r="G82" s="48">
        <v>100000</v>
      </c>
      <c r="H82" s="43">
        <f>+G82*2.87%</f>
        <v>2870</v>
      </c>
      <c r="I82" s="43">
        <f>+G82*3.04%</f>
        <v>3040</v>
      </c>
      <c r="J82" s="70">
        <v>23522.5</v>
      </c>
      <c r="K82" s="43">
        <f>SUM(H82:J82)</f>
        <v>29432.5</v>
      </c>
      <c r="L82" s="44">
        <f>+G82-K82</f>
        <v>70567.5</v>
      </c>
    </row>
    <row r="83" spans="2:12" s="25" customFormat="1" ht="30" customHeight="1" x14ac:dyDescent="0.25">
      <c r="B83" s="22">
        <f>+B82+1</f>
        <v>24</v>
      </c>
      <c r="C83" s="54" t="s">
        <v>111</v>
      </c>
      <c r="D83" s="22" t="s">
        <v>335</v>
      </c>
      <c r="E83" s="55" t="s">
        <v>424</v>
      </c>
      <c r="F83" s="60" t="s">
        <v>96</v>
      </c>
      <c r="G83" s="56">
        <v>35000</v>
      </c>
      <c r="H83" s="43">
        <f>+G83*2.87%</f>
        <v>1004.5</v>
      </c>
      <c r="I83" s="43">
        <f>+G83*3.04%</f>
        <v>1064</v>
      </c>
      <c r="J83" s="70">
        <v>6252.61</v>
      </c>
      <c r="K83" s="53">
        <f>SUM(H83:J83)</f>
        <v>8321.11</v>
      </c>
      <c r="L83" s="44">
        <f>+G83-K83</f>
        <v>26678.89</v>
      </c>
    </row>
    <row r="84" spans="2:12" s="25" customFormat="1" ht="20.100000000000001" customHeight="1" x14ac:dyDescent="0.25">
      <c r="B84" s="22" t="s">
        <v>99</v>
      </c>
      <c r="C84" s="54"/>
      <c r="D84" s="22"/>
      <c r="E84" s="55"/>
      <c r="F84" s="60"/>
      <c r="G84" s="23">
        <f t="shared" ref="G84:L84" si="18">SUM(G82:G83)</f>
        <v>135000</v>
      </c>
      <c r="H84" s="23">
        <f t="shared" si="18"/>
        <v>3874.5</v>
      </c>
      <c r="I84" s="23">
        <f t="shared" si="18"/>
        <v>4104</v>
      </c>
      <c r="J84" s="23">
        <f t="shared" si="18"/>
        <v>29775.11</v>
      </c>
      <c r="K84" s="23">
        <f t="shared" si="18"/>
        <v>37753.61</v>
      </c>
      <c r="L84" s="23">
        <f t="shared" si="18"/>
        <v>97246.39</v>
      </c>
    </row>
    <row r="85" spans="2:12" s="25" customFormat="1" ht="20.100000000000001" customHeight="1" thickBot="1" x14ac:dyDescent="0.3">
      <c r="B85" s="34"/>
      <c r="C85" s="34"/>
      <c r="D85" s="34"/>
      <c r="E85" s="34"/>
      <c r="F85" s="93"/>
      <c r="G85" s="26"/>
      <c r="H85" s="26"/>
      <c r="I85" s="26"/>
      <c r="J85" s="26"/>
      <c r="K85" s="26"/>
      <c r="L85" s="26"/>
    </row>
    <row r="86" spans="2:12" s="25" customFormat="1" ht="33" customHeight="1" thickBot="1" x14ac:dyDescent="0.3">
      <c r="B86" s="382" t="s">
        <v>382</v>
      </c>
      <c r="C86" s="383"/>
      <c r="D86" s="383"/>
      <c r="E86" s="383"/>
      <c r="F86" s="383"/>
      <c r="G86" s="383"/>
      <c r="H86" s="383"/>
      <c r="I86" s="383"/>
      <c r="J86" s="383"/>
      <c r="K86" s="383"/>
      <c r="L86" s="384"/>
    </row>
    <row r="87" spans="2:12" s="25" customFormat="1" ht="33.75" customHeight="1" x14ac:dyDescent="0.25">
      <c r="B87" s="22">
        <f>+B83+1</f>
        <v>25</v>
      </c>
      <c r="C87" s="54" t="s">
        <v>381</v>
      </c>
      <c r="D87" s="22" t="s">
        <v>335</v>
      </c>
      <c r="E87" s="55" t="s">
        <v>531</v>
      </c>
      <c r="F87" s="60" t="s">
        <v>165</v>
      </c>
      <c r="G87" s="56">
        <v>45000</v>
      </c>
      <c r="H87" s="48">
        <f>+G87*2.87%</f>
        <v>1291.5</v>
      </c>
      <c r="I87" s="48">
        <f>+G87*3.04%</f>
        <v>1368</v>
      </c>
      <c r="J87" s="48">
        <v>8604.7900000000009</v>
      </c>
      <c r="K87" s="43">
        <f>SUM(H87:J87)</f>
        <v>11264.29</v>
      </c>
      <c r="L87" s="43">
        <f>+G87-K87</f>
        <v>33735.71</v>
      </c>
    </row>
    <row r="88" spans="2:12" s="25" customFormat="1" ht="20.100000000000001" customHeight="1" x14ac:dyDescent="0.25">
      <c r="B88" s="375" t="s">
        <v>99</v>
      </c>
      <c r="C88" s="376"/>
      <c r="D88" s="376"/>
      <c r="E88" s="376"/>
      <c r="F88" s="377"/>
      <c r="G88" s="23">
        <f t="shared" ref="G88:L88" si="19">SUM(G87:G87)</f>
        <v>45000</v>
      </c>
      <c r="H88" s="23">
        <f t="shared" si="19"/>
        <v>1291.5</v>
      </c>
      <c r="I88" s="23">
        <f t="shared" si="19"/>
        <v>1368</v>
      </c>
      <c r="J88" s="23">
        <f t="shared" si="19"/>
        <v>8604.7900000000009</v>
      </c>
      <c r="K88" s="23">
        <f t="shared" si="19"/>
        <v>11264.29</v>
      </c>
      <c r="L88" s="23">
        <f t="shared" si="19"/>
        <v>33735.71</v>
      </c>
    </row>
    <row r="89" spans="2:12" s="25" customFormat="1" ht="20.100000000000001" customHeight="1" thickBot="1" x14ac:dyDescent="0.3">
      <c r="B89" s="34"/>
      <c r="C89" s="34"/>
      <c r="D89" s="34"/>
      <c r="E89" s="34"/>
      <c r="F89" s="93"/>
      <c r="G89"/>
      <c r="H89"/>
      <c r="I89"/>
      <c r="J89"/>
      <c r="K89"/>
      <c r="L89"/>
    </row>
    <row r="90" spans="2:12" s="52" customFormat="1" ht="20.100000000000001" customHeight="1" thickBot="1" x14ac:dyDescent="0.3">
      <c r="B90" s="388" t="s">
        <v>540</v>
      </c>
      <c r="C90" s="389"/>
      <c r="D90" s="389"/>
      <c r="E90" s="389"/>
      <c r="F90" s="389"/>
      <c r="G90" s="389"/>
      <c r="H90" s="389"/>
      <c r="I90" s="389"/>
      <c r="J90" s="389"/>
      <c r="K90" s="389"/>
      <c r="L90" s="390"/>
    </row>
    <row r="91" spans="2:12" s="25" customFormat="1" ht="36.75" customHeight="1" x14ac:dyDescent="0.25">
      <c r="B91" s="46">
        <f>+B87+1</f>
        <v>26</v>
      </c>
      <c r="C91" s="47" t="s">
        <v>59</v>
      </c>
      <c r="D91" s="46" t="s">
        <v>335</v>
      </c>
      <c r="E91" s="287" t="s">
        <v>539</v>
      </c>
      <c r="F91" s="75" t="s">
        <v>96</v>
      </c>
      <c r="G91" s="48">
        <v>55000</v>
      </c>
      <c r="H91" s="43">
        <f>+G91*2.87%</f>
        <v>1578.5</v>
      </c>
      <c r="I91" s="43">
        <f>+G91*3.04%</f>
        <v>1672</v>
      </c>
      <c r="J91" s="48">
        <v>12886.3</v>
      </c>
      <c r="K91" s="53">
        <v>16187.88</v>
      </c>
      <c r="L91" s="44">
        <f>+G91-K91</f>
        <v>38812.120000000003</v>
      </c>
    </row>
    <row r="92" spans="2:12" s="25" customFormat="1" ht="20.100000000000001" customHeight="1" x14ac:dyDescent="0.25">
      <c r="B92" s="375" t="s">
        <v>99</v>
      </c>
      <c r="C92" s="376"/>
      <c r="D92" s="376"/>
      <c r="E92" s="376"/>
      <c r="F92" s="377"/>
      <c r="G92" s="23">
        <f>+G91</f>
        <v>55000</v>
      </c>
      <c r="H92" s="23">
        <f t="shared" ref="H92:L92" si="20">+H91</f>
        <v>1578.5</v>
      </c>
      <c r="I92" s="23">
        <f t="shared" si="20"/>
        <v>1672</v>
      </c>
      <c r="J92" s="23">
        <f t="shared" si="20"/>
        <v>12886.3</v>
      </c>
      <c r="K92" s="23">
        <f t="shared" si="20"/>
        <v>16187.88</v>
      </c>
      <c r="L92" s="23">
        <f t="shared" si="20"/>
        <v>38812.120000000003</v>
      </c>
    </row>
    <row r="93" spans="2:12" s="25" customFormat="1" ht="20.100000000000001" customHeight="1" thickBot="1" x14ac:dyDescent="0.3">
      <c r="B93" s="34"/>
      <c r="C93" s="34"/>
      <c r="D93" s="34"/>
      <c r="E93" s="34"/>
      <c r="F93" s="93"/>
      <c r="G93"/>
      <c r="H93"/>
      <c r="I93"/>
      <c r="J93"/>
      <c r="K93"/>
      <c r="L93"/>
    </row>
    <row r="94" spans="2:12" s="25" customFormat="1" ht="20.100000000000001" customHeight="1" thickBot="1" x14ac:dyDescent="0.3">
      <c r="B94" s="388" t="s">
        <v>249</v>
      </c>
      <c r="C94" s="389"/>
      <c r="D94" s="389"/>
      <c r="E94" s="389"/>
      <c r="F94" s="389"/>
      <c r="G94" s="389"/>
      <c r="H94" s="389"/>
      <c r="I94" s="389"/>
      <c r="J94" s="389"/>
      <c r="K94" s="389"/>
      <c r="L94" s="390"/>
    </row>
    <row r="95" spans="2:12" s="25" customFormat="1" ht="28.5" customHeight="1" x14ac:dyDescent="0.25">
      <c r="B95" s="46">
        <f>+B91+1</f>
        <v>27</v>
      </c>
      <c r="C95" s="47" t="s">
        <v>477</v>
      </c>
      <c r="D95" s="46" t="s">
        <v>335</v>
      </c>
      <c r="E95" s="287" t="s">
        <v>487</v>
      </c>
      <c r="F95" s="75" t="s">
        <v>97</v>
      </c>
      <c r="G95" s="48">
        <v>45000</v>
      </c>
      <c r="H95" s="43">
        <f>+G95*2.87%</f>
        <v>1291.5</v>
      </c>
      <c r="I95" s="43">
        <f>+G95*3.04%</f>
        <v>1368</v>
      </c>
      <c r="J95" s="43">
        <v>10585.13</v>
      </c>
      <c r="K95" s="43">
        <f>SUM(H95:J95)</f>
        <v>13244.63</v>
      </c>
      <c r="L95" s="44">
        <f>+G95-K95</f>
        <v>31755.370000000003</v>
      </c>
    </row>
    <row r="96" spans="2:12" s="25" customFormat="1" ht="20.100000000000001" customHeight="1" x14ac:dyDescent="0.25">
      <c r="B96" s="375" t="s">
        <v>99</v>
      </c>
      <c r="C96" s="376"/>
      <c r="D96" s="376"/>
      <c r="E96" s="376"/>
      <c r="F96" s="377"/>
      <c r="G96" s="23">
        <f>SUM(G95:G95)</f>
        <v>45000</v>
      </c>
      <c r="H96" s="23">
        <f t="shared" ref="H96:L96" si="21">SUM(H95:H95)</f>
        <v>1291.5</v>
      </c>
      <c r="I96" s="23">
        <f t="shared" si="21"/>
        <v>1368</v>
      </c>
      <c r="J96" s="23">
        <f t="shared" si="21"/>
        <v>10585.13</v>
      </c>
      <c r="K96" s="23">
        <f t="shared" si="21"/>
        <v>13244.63</v>
      </c>
      <c r="L96" s="23">
        <f t="shared" si="21"/>
        <v>31755.370000000003</v>
      </c>
    </row>
    <row r="97" spans="2:12" s="45" customFormat="1" ht="20.100000000000001" customHeight="1" thickBot="1" x14ac:dyDescent="0.3">
      <c r="B97" s="34"/>
      <c r="C97" s="34"/>
      <c r="D97" s="34"/>
      <c r="E97" s="34"/>
      <c r="F97" s="93"/>
      <c r="G97"/>
      <c r="H97"/>
      <c r="I97"/>
      <c r="J97"/>
      <c r="K97"/>
      <c r="L97"/>
    </row>
    <row r="98" spans="2:12" s="45" customFormat="1" ht="20.100000000000001" customHeight="1" thickBot="1" x14ac:dyDescent="0.3">
      <c r="B98" s="388" t="s">
        <v>146</v>
      </c>
      <c r="C98" s="389"/>
      <c r="D98" s="389"/>
      <c r="E98" s="389"/>
      <c r="F98" s="389"/>
      <c r="G98" s="389"/>
      <c r="H98" s="389"/>
      <c r="I98" s="389"/>
      <c r="J98" s="389"/>
      <c r="K98" s="389"/>
      <c r="L98" s="390"/>
    </row>
    <row r="99" spans="2:12" s="25" customFormat="1" ht="27.75" customHeight="1" x14ac:dyDescent="0.25">
      <c r="B99" s="22">
        <f>+B95+1</f>
        <v>28</v>
      </c>
      <c r="C99" s="54" t="s">
        <v>374</v>
      </c>
      <c r="D99" s="22" t="s">
        <v>334</v>
      </c>
      <c r="E99" s="60" t="s">
        <v>375</v>
      </c>
      <c r="F99" s="60" t="s">
        <v>165</v>
      </c>
      <c r="G99" s="48">
        <v>90000</v>
      </c>
      <c r="H99" s="43">
        <f>+G99*2.87%</f>
        <v>2583</v>
      </c>
      <c r="I99" s="43">
        <f>+G99*3.04%</f>
        <v>2736</v>
      </c>
      <c r="J99" s="43">
        <v>20380.04</v>
      </c>
      <c r="K99" s="43">
        <f>SUM(H99:J99)</f>
        <v>25699.040000000001</v>
      </c>
      <c r="L99" s="44">
        <f>+G99-K99</f>
        <v>64300.959999999999</v>
      </c>
    </row>
    <row r="100" spans="2:12" s="25" customFormat="1" ht="20.100000000000001" customHeight="1" x14ac:dyDescent="0.25">
      <c r="B100" s="375" t="s">
        <v>99</v>
      </c>
      <c r="C100" s="376"/>
      <c r="D100" s="376"/>
      <c r="E100" s="376"/>
      <c r="F100" s="377"/>
      <c r="G100" s="23">
        <f t="shared" ref="G100:L100" si="22">SUM(G99:G99)</f>
        <v>90000</v>
      </c>
      <c r="H100" s="23">
        <f t="shared" si="22"/>
        <v>2583</v>
      </c>
      <c r="I100" s="23">
        <f t="shared" si="22"/>
        <v>2736</v>
      </c>
      <c r="J100" s="23">
        <f t="shared" si="22"/>
        <v>20380.04</v>
      </c>
      <c r="K100" s="23">
        <f t="shared" si="22"/>
        <v>25699.040000000001</v>
      </c>
      <c r="L100" s="23">
        <f t="shared" si="22"/>
        <v>64300.959999999999</v>
      </c>
    </row>
    <row r="101" spans="2:12" s="45" customFormat="1" ht="20.100000000000001" customHeight="1" thickBot="1" x14ac:dyDescent="0.3">
      <c r="B101" s="34"/>
      <c r="C101" s="34"/>
      <c r="D101" s="34"/>
      <c r="E101" s="34"/>
      <c r="F101" s="93"/>
      <c r="G101" s="26"/>
      <c r="H101" s="26"/>
      <c r="I101" s="26"/>
      <c r="J101" s="26"/>
      <c r="K101" s="26"/>
      <c r="L101" s="26"/>
    </row>
    <row r="102" spans="2:12" s="45" customFormat="1" ht="20.100000000000001" customHeight="1" thickBot="1" x14ac:dyDescent="0.3">
      <c r="B102" s="385" t="s">
        <v>257</v>
      </c>
      <c r="C102" s="386"/>
      <c r="D102" s="386"/>
      <c r="E102" s="386"/>
      <c r="F102" s="386"/>
      <c r="G102" s="386"/>
      <c r="H102" s="386"/>
      <c r="I102" s="386"/>
      <c r="J102" s="386"/>
      <c r="K102" s="386"/>
      <c r="L102" s="387"/>
    </row>
    <row r="103" spans="2:12" s="25" customFormat="1" ht="33" customHeight="1" x14ac:dyDescent="0.25">
      <c r="B103" s="46">
        <f>+B99+1</f>
        <v>29</v>
      </c>
      <c r="C103" s="54" t="s">
        <v>120</v>
      </c>
      <c r="D103" s="22" t="s">
        <v>334</v>
      </c>
      <c r="E103" s="54" t="s">
        <v>338</v>
      </c>
      <c r="F103" s="60" t="s">
        <v>96</v>
      </c>
      <c r="G103" s="48">
        <v>35000</v>
      </c>
      <c r="H103" s="43">
        <f>+G103*2.87%</f>
        <v>1004.5</v>
      </c>
      <c r="I103" s="43">
        <f>+G103*3.04%</f>
        <v>1064</v>
      </c>
      <c r="J103" s="48">
        <v>7193.51</v>
      </c>
      <c r="K103" s="53">
        <f>SUM(H103:J103)</f>
        <v>9262.01</v>
      </c>
      <c r="L103" s="44">
        <f>+G103-K103</f>
        <v>25737.989999999998</v>
      </c>
    </row>
    <row r="104" spans="2:12" s="25" customFormat="1" ht="20.100000000000001" customHeight="1" x14ac:dyDescent="0.25">
      <c r="B104" s="375" t="s">
        <v>99</v>
      </c>
      <c r="C104" s="376"/>
      <c r="D104" s="376"/>
      <c r="E104" s="376"/>
      <c r="F104" s="377"/>
      <c r="G104" s="23">
        <f t="shared" ref="G104:L104" si="23">SUM(G103:G103)</f>
        <v>35000</v>
      </c>
      <c r="H104" s="23">
        <f t="shared" si="23"/>
        <v>1004.5</v>
      </c>
      <c r="I104" s="23">
        <f t="shared" si="23"/>
        <v>1064</v>
      </c>
      <c r="J104" s="23">
        <f t="shared" si="23"/>
        <v>7193.51</v>
      </c>
      <c r="K104" s="23">
        <f t="shared" si="23"/>
        <v>9262.01</v>
      </c>
      <c r="L104" s="23">
        <f t="shared" si="23"/>
        <v>25737.989999999998</v>
      </c>
    </row>
    <row r="105" spans="2:12" s="25" customFormat="1" ht="20.100000000000001" customHeight="1" thickBot="1" x14ac:dyDescent="0.3">
      <c r="B105" s="34"/>
      <c r="C105" s="34"/>
      <c r="D105" s="34"/>
      <c r="E105" s="34"/>
      <c r="F105" s="93"/>
      <c r="G105" s="26"/>
      <c r="H105" s="26"/>
      <c r="I105" s="26"/>
      <c r="J105" s="26"/>
      <c r="K105" s="26"/>
      <c r="L105" s="26"/>
    </row>
    <row r="106" spans="2:12" s="25" customFormat="1" ht="20.100000000000001" customHeight="1" thickBot="1" x14ac:dyDescent="0.3">
      <c r="B106" s="385" t="s">
        <v>12</v>
      </c>
      <c r="C106" s="386"/>
      <c r="D106" s="386"/>
      <c r="E106" s="386"/>
      <c r="F106" s="386"/>
      <c r="G106" s="386"/>
      <c r="H106" s="386"/>
      <c r="I106" s="386"/>
      <c r="J106" s="386"/>
      <c r="K106" s="386"/>
      <c r="L106" s="387"/>
    </row>
    <row r="107" spans="2:12" s="25" customFormat="1" ht="20.100000000000001" customHeight="1" x14ac:dyDescent="0.25">
      <c r="B107" s="46">
        <f>+B103+1</f>
        <v>30</v>
      </c>
      <c r="C107" s="54" t="s">
        <v>605</v>
      </c>
      <c r="D107" s="22" t="s">
        <v>335</v>
      </c>
      <c r="E107" s="54" t="s">
        <v>606</v>
      </c>
      <c r="F107" s="60" t="s">
        <v>96</v>
      </c>
      <c r="G107" s="48">
        <v>8500</v>
      </c>
      <c r="H107" s="43">
        <f>+G107*2.87%</f>
        <v>243.95</v>
      </c>
      <c r="I107" s="43">
        <f>+G107*3.04%</f>
        <v>258.39999999999998</v>
      </c>
      <c r="J107" s="48">
        <v>1199.6500000000001</v>
      </c>
      <c r="K107" s="53">
        <f>SUM(H107:J107)</f>
        <v>1702</v>
      </c>
      <c r="L107" s="44">
        <f>+G107-K107</f>
        <v>6798</v>
      </c>
    </row>
    <row r="108" spans="2:12" s="25" customFormat="1" ht="20.100000000000001" customHeight="1" x14ac:dyDescent="0.25">
      <c r="B108" s="375" t="s">
        <v>99</v>
      </c>
      <c r="C108" s="376"/>
      <c r="D108" s="376"/>
      <c r="E108" s="376"/>
      <c r="F108" s="377"/>
      <c r="G108" s="23">
        <f>SUM(G107:G107)</f>
        <v>8500</v>
      </c>
      <c r="H108" s="23">
        <f t="shared" ref="H108:L108" si="24">SUM(H107:H107)</f>
        <v>243.95</v>
      </c>
      <c r="I108" s="23">
        <f t="shared" si="24"/>
        <v>258.39999999999998</v>
      </c>
      <c r="J108" s="23">
        <f t="shared" si="24"/>
        <v>1199.6500000000001</v>
      </c>
      <c r="K108" s="23">
        <f t="shared" si="24"/>
        <v>1702</v>
      </c>
      <c r="L108" s="23">
        <f t="shared" si="24"/>
        <v>6798</v>
      </c>
    </row>
    <row r="109" spans="2:12" s="25" customFormat="1" ht="20.100000000000001" customHeight="1" thickBot="1" x14ac:dyDescent="0.3">
      <c r="B109" s="34"/>
      <c r="C109" s="34"/>
      <c r="D109" s="34"/>
      <c r="E109" s="34"/>
      <c r="F109" s="93"/>
      <c r="G109" s="26"/>
      <c r="H109" s="26"/>
      <c r="I109" s="26"/>
      <c r="J109" s="26"/>
      <c r="K109" s="26"/>
      <c r="L109" s="26"/>
    </row>
    <row r="110" spans="2:12" s="45" customFormat="1" ht="27.75" customHeight="1" thickBot="1" x14ac:dyDescent="0.3">
      <c r="B110" s="382" t="s">
        <v>173</v>
      </c>
      <c r="C110" s="383"/>
      <c r="D110" s="383"/>
      <c r="E110" s="383"/>
      <c r="F110" s="383"/>
      <c r="G110" s="383"/>
      <c r="H110" s="383"/>
      <c r="I110" s="383"/>
      <c r="J110" s="383"/>
      <c r="K110" s="383"/>
      <c r="L110" s="384"/>
    </row>
    <row r="111" spans="2:12" s="25" customFormat="1" ht="31.5" customHeight="1" x14ac:dyDescent="0.25">
      <c r="B111" s="42">
        <f>+B107+1</f>
        <v>31</v>
      </c>
      <c r="C111" s="57" t="s">
        <v>63</v>
      </c>
      <c r="D111" s="58" t="s">
        <v>334</v>
      </c>
      <c r="E111" s="65" t="s">
        <v>497</v>
      </c>
      <c r="F111" s="65" t="s">
        <v>96</v>
      </c>
      <c r="G111" s="53">
        <v>40000</v>
      </c>
      <c r="H111" s="71">
        <v>1148</v>
      </c>
      <c r="I111" s="71">
        <v>1216</v>
      </c>
      <c r="J111" s="43">
        <v>8522.7999999999993</v>
      </c>
      <c r="K111" s="53">
        <f>+H111+I111+J111</f>
        <v>10886.8</v>
      </c>
      <c r="L111" s="44">
        <f>+G111-K111</f>
        <v>29113.200000000001</v>
      </c>
    </row>
    <row r="112" spans="2:12" s="25" customFormat="1" ht="22.5" customHeight="1" x14ac:dyDescent="0.25">
      <c r="B112" s="46">
        <f>+B111+1</f>
        <v>32</v>
      </c>
      <c r="C112" s="54" t="s">
        <v>421</v>
      </c>
      <c r="D112" s="22" t="s">
        <v>334</v>
      </c>
      <c r="E112" s="54" t="s">
        <v>479</v>
      </c>
      <c r="F112" s="60" t="s">
        <v>97</v>
      </c>
      <c r="G112" s="56">
        <v>25000</v>
      </c>
      <c r="H112" s="43">
        <f>+G112*2.87%</f>
        <v>717.5</v>
      </c>
      <c r="I112" s="43">
        <f>+G112*3.04%</f>
        <v>760</v>
      </c>
      <c r="J112" s="48">
        <f>2566.91+1092.73</f>
        <v>3659.64</v>
      </c>
      <c r="K112" s="53">
        <f>+H112+I112+J112</f>
        <v>5137.1399999999994</v>
      </c>
      <c r="L112" s="44">
        <f>+G112-K112</f>
        <v>19862.86</v>
      </c>
    </row>
    <row r="113" spans="2:12" s="25" customFormat="1" ht="20.100000000000001" customHeight="1" x14ac:dyDescent="0.25">
      <c r="B113" s="375" t="s">
        <v>99</v>
      </c>
      <c r="C113" s="376"/>
      <c r="D113" s="376"/>
      <c r="E113" s="376"/>
      <c r="F113" s="377"/>
      <c r="G113" s="23">
        <f>SUM(G111:G112)</f>
        <v>65000</v>
      </c>
      <c r="H113" s="23">
        <f t="shared" ref="H113:L113" si="25">SUM(H111:H112)</f>
        <v>1865.5</v>
      </c>
      <c r="I113" s="23">
        <f t="shared" si="25"/>
        <v>1976</v>
      </c>
      <c r="J113" s="23">
        <f t="shared" si="25"/>
        <v>12182.439999999999</v>
      </c>
      <c r="K113" s="23">
        <f t="shared" si="25"/>
        <v>16023.939999999999</v>
      </c>
      <c r="L113" s="23">
        <f t="shared" si="25"/>
        <v>48976.06</v>
      </c>
    </row>
    <row r="114" spans="2:12" s="45" customFormat="1" ht="20.100000000000001" customHeight="1" thickBot="1" x14ac:dyDescent="0.3">
      <c r="B114" s="34"/>
      <c r="C114" s="34"/>
      <c r="D114" s="34"/>
      <c r="E114" s="34"/>
      <c r="F114" s="93"/>
      <c r="G114" s="26"/>
      <c r="H114" s="26"/>
      <c r="I114" s="26"/>
      <c r="J114" s="26"/>
      <c r="K114" s="26"/>
      <c r="L114" s="26"/>
    </row>
    <row r="115" spans="2:12" s="45" customFormat="1" ht="20.100000000000001" customHeight="1" thickBot="1" x14ac:dyDescent="0.3">
      <c r="B115" s="385" t="s">
        <v>147</v>
      </c>
      <c r="C115" s="386"/>
      <c r="D115" s="386"/>
      <c r="E115" s="386"/>
      <c r="F115" s="386"/>
      <c r="G115" s="386"/>
      <c r="H115" s="386"/>
      <c r="I115" s="386"/>
      <c r="J115" s="386"/>
      <c r="K115" s="386"/>
      <c r="L115" s="387"/>
    </row>
    <row r="116" spans="2:12" s="25" customFormat="1" ht="20.100000000000001" customHeight="1" x14ac:dyDescent="0.25">
      <c r="B116" s="46">
        <f>+B112+1</f>
        <v>33</v>
      </c>
      <c r="C116" s="54" t="s">
        <v>31</v>
      </c>
      <c r="D116" s="22" t="s">
        <v>335</v>
      </c>
      <c r="E116" s="54" t="s">
        <v>284</v>
      </c>
      <c r="F116" s="60" t="s">
        <v>97</v>
      </c>
      <c r="G116" s="56">
        <v>12500</v>
      </c>
      <c r="H116" s="43">
        <f>+G116*2.87%</f>
        <v>358.75</v>
      </c>
      <c r="I116" s="43">
        <f>+G116*3.04%</f>
        <v>380</v>
      </c>
      <c r="J116" s="48">
        <v>0</v>
      </c>
      <c r="K116" s="53">
        <f>+I116+H116</f>
        <v>738.75</v>
      </c>
      <c r="L116" s="44">
        <f>+G116-K116</f>
        <v>11761.25</v>
      </c>
    </row>
    <row r="117" spans="2:12" s="25" customFormat="1" ht="20.100000000000001" customHeight="1" x14ac:dyDescent="0.25">
      <c r="B117" s="375" t="s">
        <v>99</v>
      </c>
      <c r="C117" s="376"/>
      <c r="D117" s="376"/>
      <c r="E117" s="376"/>
      <c r="F117" s="377"/>
      <c r="G117" s="23">
        <f>+G116</f>
        <v>12500</v>
      </c>
      <c r="H117" s="23">
        <f t="shared" ref="H117:L117" si="26">+H116</f>
        <v>358.75</v>
      </c>
      <c r="I117" s="23">
        <f t="shared" si="26"/>
        <v>380</v>
      </c>
      <c r="J117" s="23">
        <f t="shared" si="26"/>
        <v>0</v>
      </c>
      <c r="K117" s="23">
        <f t="shared" si="26"/>
        <v>738.75</v>
      </c>
      <c r="L117" s="23">
        <f t="shared" si="26"/>
        <v>11761.25</v>
      </c>
    </row>
    <row r="118" spans="2:12" s="25" customFormat="1" ht="20.100000000000001" customHeight="1" thickBot="1" x14ac:dyDescent="0.3">
      <c r="B118" s="27"/>
      <c r="C118" s="32"/>
      <c r="D118" s="62"/>
      <c r="E118" s="32"/>
      <c r="F118" s="40"/>
      <c r="G118" s="33"/>
    </row>
    <row r="119" spans="2:12" ht="25.5" customHeight="1" thickBot="1" x14ac:dyDescent="0.3">
      <c r="B119" s="36"/>
      <c r="C119" s="37" t="s">
        <v>340</v>
      </c>
      <c r="D119" s="63"/>
      <c r="E119" s="38"/>
      <c r="F119" s="90"/>
      <c r="G119" s="39">
        <f>+G117+G113+G108+G104+G100+G96+G92+G88+G84+G79+G74+G70+G66+G62+G59+G54+G50+G46+G42+G38+G33+G28+G24+G21+G17+G13+G9</f>
        <v>1519750</v>
      </c>
      <c r="H119" s="39">
        <f>+H117+H113+H108+H104+H100+H96+H92+H88+H84+H79+H74+H70+H66+H62+H59+H54+H50+H46+H42+H38+H33+H28+H24+H21+H17+H13+H9</f>
        <v>43616.824999999997</v>
      </c>
      <c r="I119" s="39">
        <f>+I117+I113+I108+I104+I100+I96+I92+I88+I84+I79+I74+I70+I66+I62+I59+I54+I50+I46+I42+I38+I33+I28+I24+I21+I17+I13+I9</f>
        <v>46200.400000000009</v>
      </c>
      <c r="J119" s="39">
        <f>+J117+J113+J108+J104+J100+J96+J92+J88+J84+J79+J74+J70+J66+J62+J59+J54+J50+J46+J42+J38+J33+J28+J24+J21+J17+J13+J9</f>
        <v>336847.56375000009</v>
      </c>
      <c r="K119" s="39">
        <f>+K117+K113+K108+K104+K100+K96+K92+K88+K84+K79+K74+K70+K66+K62+K59+K54+K50+K46+K42+K38+K33+K28+K24+K21+K17+K13+K9</f>
        <v>426981.63875000004</v>
      </c>
      <c r="L119" s="39">
        <f>+L117+L113+L108+L104+L100+L96+L92+L88+L84+L79+L74+L70+L66+L62+L59+L54+L50+L46+L42+L38+L33+L28+L24+L21+L17+L13+L9</f>
        <v>1092768.3612500001</v>
      </c>
    </row>
    <row r="120" spans="2:12" ht="20.100000000000001" customHeight="1" x14ac:dyDescent="0.25">
      <c r="B120" s="14"/>
      <c r="C120" s="13"/>
      <c r="D120" s="14"/>
      <c r="E120" s="13"/>
      <c r="F120" s="91"/>
      <c r="G120" s="7"/>
      <c r="H120" s="8"/>
      <c r="I120" s="8"/>
      <c r="J120" s="8"/>
      <c r="K120" s="8"/>
      <c r="L120" s="81"/>
    </row>
    <row r="121" spans="2:12" ht="20.100000000000001" customHeight="1" x14ac:dyDescent="0.25">
      <c r="B121" s="14"/>
      <c r="C121" s="13"/>
      <c r="D121" s="14"/>
      <c r="E121" s="13"/>
      <c r="F121" s="91"/>
      <c r="G121" s="7"/>
      <c r="H121" s="8"/>
      <c r="I121" s="8"/>
      <c r="J121" s="8"/>
      <c r="K121" s="8"/>
      <c r="L121" s="81"/>
    </row>
    <row r="122" spans="2:12" ht="20.100000000000001" customHeight="1" thickBot="1" x14ac:dyDescent="0.25">
      <c r="C122" s="351" t="s">
        <v>618</v>
      </c>
      <c r="D122" s="351"/>
      <c r="E122" s="1"/>
      <c r="F122" s="356"/>
      <c r="G122" s="356"/>
    </row>
    <row r="123" spans="2:12" ht="38.25" customHeight="1" x14ac:dyDescent="0.2">
      <c r="C123" s="350" t="s">
        <v>632</v>
      </c>
      <c r="D123" s="350"/>
      <c r="E123" s="200"/>
      <c r="F123" s="357"/>
      <c r="G123" s="357"/>
      <c r="H123" s="317"/>
      <c r="L123" s="4"/>
    </row>
    <row r="124" spans="2:12" ht="20.100000000000001" customHeight="1" x14ac:dyDescent="0.25">
      <c r="C124" s="381"/>
      <c r="D124" s="381"/>
      <c r="E124" s="200"/>
      <c r="F124" s="381"/>
      <c r="G124" s="381"/>
    </row>
    <row r="125" spans="2:12" ht="20.100000000000001" customHeight="1" x14ac:dyDescent="0.25">
      <c r="C125" s="10"/>
      <c r="D125" s="64"/>
      <c r="E125" s="9"/>
      <c r="F125" s="94"/>
      <c r="G125" s="94"/>
    </row>
    <row r="16643" spans="3:3" ht="20.100000000000001" customHeight="1" x14ac:dyDescent="0.2">
      <c r="C16643" s="12">
        <f>SUM(C6:C16642)</f>
        <v>0</v>
      </c>
    </row>
    <row r="16645" spans="3:3" ht="20.100000000000001" customHeight="1" x14ac:dyDescent="0.2">
      <c r="C16645" s="12">
        <f>SUM(C16643)</f>
        <v>0</v>
      </c>
    </row>
    <row r="999968" spans="11:11" ht="20.100000000000001" customHeight="1" x14ac:dyDescent="0.2">
      <c r="K999968" s="5" t="e">
        <f>SUM(#REF!)</f>
        <v>#REF!</v>
      </c>
    </row>
  </sheetData>
  <mergeCells count="64">
    <mergeCell ref="B106:L106"/>
    <mergeCell ref="B108:F108"/>
    <mergeCell ref="B72:L72"/>
    <mergeCell ref="B48:L48"/>
    <mergeCell ref="B50:F50"/>
    <mergeCell ref="B62:F62"/>
    <mergeCell ref="B70:F70"/>
    <mergeCell ref="B64:L64"/>
    <mergeCell ref="B66:F66"/>
    <mergeCell ref="B68:L68"/>
    <mergeCell ref="B74:F74"/>
    <mergeCell ref="B102:L102"/>
    <mergeCell ref="B104:F104"/>
    <mergeCell ref="B94:L94"/>
    <mergeCell ref="B96:F96"/>
    <mergeCell ref="B19:L19"/>
    <mergeCell ref="B21:F21"/>
    <mergeCell ref="B52:L52"/>
    <mergeCell ref="B54:F54"/>
    <mergeCell ref="B60:L60"/>
    <mergeCell ref="B59:F59"/>
    <mergeCell ref="B56:L56"/>
    <mergeCell ref="B22:L22"/>
    <mergeCell ref="B24:F24"/>
    <mergeCell ref="B11:L11"/>
    <mergeCell ref="B13:F13"/>
    <mergeCell ref="B15:L15"/>
    <mergeCell ref="B1:L1"/>
    <mergeCell ref="B2:L2"/>
    <mergeCell ref="B3:L3"/>
    <mergeCell ref="B4:C4"/>
    <mergeCell ref="H5:I5"/>
    <mergeCell ref="B98:L98"/>
    <mergeCell ref="B90:L90"/>
    <mergeCell ref="B92:F92"/>
    <mergeCell ref="B7:L7"/>
    <mergeCell ref="B9:F9"/>
    <mergeCell ref="B46:F46"/>
    <mergeCell ref="B40:L40"/>
    <mergeCell ref="B42:F42"/>
    <mergeCell ref="B44:L44"/>
    <mergeCell ref="B35:L35"/>
    <mergeCell ref="B38:F38"/>
    <mergeCell ref="B28:F28"/>
    <mergeCell ref="B30:L30"/>
    <mergeCell ref="B33:F33"/>
    <mergeCell ref="B17:F17"/>
    <mergeCell ref="B26:L26"/>
    <mergeCell ref="B100:F100"/>
    <mergeCell ref="B81:L81"/>
    <mergeCell ref="B79:F79"/>
    <mergeCell ref="B76:L76"/>
    <mergeCell ref="F124:G124"/>
    <mergeCell ref="C124:D124"/>
    <mergeCell ref="B110:L110"/>
    <mergeCell ref="B113:F113"/>
    <mergeCell ref="B115:L115"/>
    <mergeCell ref="B117:F117"/>
    <mergeCell ref="C122:D122"/>
    <mergeCell ref="F122:G122"/>
    <mergeCell ref="C123:D123"/>
    <mergeCell ref="F123:G123"/>
    <mergeCell ref="B86:L86"/>
    <mergeCell ref="B88:F88"/>
  </mergeCells>
  <pageMargins left="0.15748031496062992" right="0.15748031496062992" top="0.15748031496062992" bottom="0.15748031496062992" header="0.15748031496062992" footer="0.15748031496062992"/>
  <pageSetup paperSize="5" scale="67" fitToHeight="0" orientation="landscape" r:id="rId1"/>
  <rowBreaks count="5" manualBreakCount="5">
    <brk id="36" min="1" max="11" man="1"/>
    <brk id="66" min="1" max="11" man="1"/>
    <brk id="92" min="1" max="11" man="1"/>
    <brk id="126" min="1" max="11" man="1"/>
    <brk id="130" min="1" max="11" man="1"/>
  </rowBreaks>
  <ignoredErrors>
    <ignoredError sqref="K41 K82 K69 K77 K8 K32 K45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77147"/>
  <sheetViews>
    <sheetView showGridLines="0" zoomScale="78" zoomScaleNormal="78" zoomScaleSheetLayoutView="90" workbookViewId="0">
      <selection activeCell="P21" sqref="P21"/>
    </sheetView>
  </sheetViews>
  <sheetFormatPr baseColWidth="10" defaultColWidth="11.42578125" defaultRowHeight="39.950000000000003" customHeight="1" x14ac:dyDescent="0.2"/>
  <cols>
    <col min="1" max="1" width="6.42578125" style="113" customWidth="1"/>
    <col min="2" max="2" width="43.85546875" style="113" customWidth="1"/>
    <col min="3" max="3" width="8.85546875" style="113" customWidth="1"/>
    <col min="4" max="4" width="47.85546875" style="113" customWidth="1"/>
    <col min="5" max="5" width="54.140625" style="113" customWidth="1"/>
    <col min="6" max="6" width="18.5703125" style="126" customWidth="1"/>
    <col min="7" max="8" width="15" style="113" customWidth="1"/>
    <col min="9" max="9" width="14.140625" style="113" customWidth="1"/>
    <col min="10" max="10" width="15" style="113" customWidth="1"/>
    <col min="11" max="11" width="18.140625" style="113" customWidth="1"/>
    <col min="12" max="12" width="18.28515625" style="113" bestFit="1" customWidth="1"/>
    <col min="13" max="13" width="14.85546875" style="113" customWidth="1"/>
    <col min="14" max="14" width="18.7109375" style="113" customWidth="1"/>
    <col min="15" max="15" width="17.7109375" style="124" customWidth="1"/>
    <col min="16" max="16384" width="11.42578125" style="113"/>
  </cols>
  <sheetData>
    <row r="1" spans="1:15" ht="20.100000000000001" customHeight="1" x14ac:dyDescent="0.2">
      <c r="A1" s="358" t="s">
        <v>324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</row>
    <row r="2" spans="1:15" ht="20.100000000000001" customHeight="1" x14ac:dyDescent="0.2">
      <c r="A2" s="359" t="s">
        <v>325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</row>
    <row r="3" spans="1:15" ht="20.100000000000001" customHeight="1" x14ac:dyDescent="0.2">
      <c r="A3" s="360" t="s">
        <v>661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125"/>
    </row>
    <row r="4" spans="1:15" ht="20.100000000000001" customHeight="1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25"/>
    </row>
    <row r="5" spans="1:15" ht="20.100000000000001" customHeight="1" thickBot="1" x14ac:dyDescent="0.25">
      <c r="A5" s="126"/>
      <c r="B5" s="112"/>
      <c r="C5" s="112"/>
      <c r="D5" s="112"/>
      <c r="F5" s="127"/>
      <c r="G5" s="394" t="s">
        <v>95</v>
      </c>
      <c r="H5" s="395"/>
      <c r="I5" s="96"/>
      <c r="J5" s="96"/>
      <c r="K5" s="126"/>
      <c r="L5" s="126"/>
      <c r="M5" s="126"/>
      <c r="N5" s="126"/>
      <c r="O5" s="128"/>
    </row>
    <row r="6" spans="1:15" s="126" customFormat="1" ht="42" customHeight="1" x14ac:dyDescent="0.2">
      <c r="A6" s="294" t="s">
        <v>0</v>
      </c>
      <c r="B6" s="294" t="s">
        <v>292</v>
      </c>
      <c r="C6" s="294" t="s">
        <v>336</v>
      </c>
      <c r="D6" s="294" t="s">
        <v>100</v>
      </c>
      <c r="E6" s="294" t="s">
        <v>101</v>
      </c>
      <c r="F6" s="294" t="s">
        <v>98</v>
      </c>
      <c r="G6" s="294" t="s">
        <v>1</v>
      </c>
      <c r="H6" s="294" t="s">
        <v>2</v>
      </c>
      <c r="I6" s="294" t="s">
        <v>438</v>
      </c>
      <c r="J6" s="294" t="s">
        <v>435</v>
      </c>
      <c r="K6" s="294" t="s">
        <v>436</v>
      </c>
      <c r="L6" s="294" t="s">
        <v>90</v>
      </c>
      <c r="M6" s="294" t="s">
        <v>92</v>
      </c>
      <c r="N6" s="294" t="s">
        <v>3</v>
      </c>
      <c r="O6" s="294" t="s">
        <v>91</v>
      </c>
    </row>
    <row r="7" spans="1:15" s="126" customFormat="1" ht="35.1" customHeight="1" x14ac:dyDescent="0.2">
      <c r="A7" s="297">
        <v>1</v>
      </c>
      <c r="B7" s="302" t="s">
        <v>199</v>
      </c>
      <c r="C7" s="152" t="s">
        <v>335</v>
      </c>
      <c r="D7" s="153" t="s">
        <v>124</v>
      </c>
      <c r="E7" s="153" t="s">
        <v>149</v>
      </c>
      <c r="F7" s="303">
        <v>155000</v>
      </c>
      <c r="G7" s="130">
        <f t="shared" ref="G7:G13" si="0">F7*2.87%</f>
        <v>4448.5</v>
      </c>
      <c r="H7" s="130">
        <f t="shared" ref="H7:H13" si="1">+F7*3.04%</f>
        <v>4712</v>
      </c>
      <c r="I7" s="303"/>
      <c r="J7" s="130">
        <f>+G7+H7+I7</f>
        <v>9160.5</v>
      </c>
      <c r="K7" s="130">
        <f>+F7-J7</f>
        <v>145839.5</v>
      </c>
      <c r="L7" s="130">
        <f>+IF(K7*12&lt;=416220.01,0,IF(K7*12&lt;=624329.01,(((K7*12-416220.01)*0.15)/12),IF((K7*12&lt;=867123.01),(31216+0.2*(K7*12-624329.01))/12,((79776+0.25*(K7*12-867123.01))/12))))</f>
        <v>25042.812291666665</v>
      </c>
      <c r="M7" s="130">
        <v>9197.35</v>
      </c>
      <c r="N7" s="130">
        <f>+M7+L7+J7</f>
        <v>43400.662291666667</v>
      </c>
      <c r="O7" s="304">
        <f>+F7-N7</f>
        <v>111599.33770833333</v>
      </c>
    </row>
    <row r="8" spans="1:15" s="124" customFormat="1" ht="35.1" customHeight="1" x14ac:dyDescent="0.2">
      <c r="A8" s="297">
        <v>2</v>
      </c>
      <c r="B8" s="291" t="s">
        <v>213</v>
      </c>
      <c r="C8" s="108" t="s">
        <v>335</v>
      </c>
      <c r="D8" s="107" t="s">
        <v>556</v>
      </c>
      <c r="E8" s="107" t="s">
        <v>545</v>
      </c>
      <c r="F8" s="305">
        <v>155000</v>
      </c>
      <c r="G8" s="130">
        <f t="shared" si="0"/>
        <v>4448.5</v>
      </c>
      <c r="H8" s="130">
        <f t="shared" si="1"/>
        <v>4712</v>
      </c>
      <c r="I8" s="303">
        <v>1919.78</v>
      </c>
      <c r="J8" s="130">
        <f t="shared" ref="J8:J20" si="2">+G8+H8+I8</f>
        <v>11080.28</v>
      </c>
      <c r="K8" s="130">
        <f t="shared" ref="K8:K10" si="3">+F8-J8</f>
        <v>143919.72</v>
      </c>
      <c r="L8" s="130">
        <f t="shared" ref="L8:L20" si="4">+IF(K8*12&lt;=416220.01,0,IF(K8*12&lt;=624329.01,(((K8*12-416220.01)*0.15)/12),IF((K8*12&lt;=867123.01),(31216+0.2*(K8*12-624329.01))/12,((79776+0.25*(K8*12-867123.01))/12))))</f>
        <v>24562.867291666669</v>
      </c>
      <c r="M8" s="130">
        <v>25</v>
      </c>
      <c r="N8" s="130">
        <f t="shared" ref="N8:N18" si="5">+M8+L8+J8</f>
        <v>35668.147291666668</v>
      </c>
      <c r="O8" s="304">
        <f t="shared" ref="O8:O20" si="6">+F8-N8</f>
        <v>119331.85270833333</v>
      </c>
    </row>
    <row r="9" spans="1:15" s="128" customFormat="1" ht="35.1" customHeight="1" x14ac:dyDescent="0.2">
      <c r="A9" s="297">
        <v>3</v>
      </c>
      <c r="B9" s="291" t="s">
        <v>207</v>
      </c>
      <c r="C9" s="108" t="s">
        <v>335</v>
      </c>
      <c r="D9" s="107" t="s">
        <v>384</v>
      </c>
      <c r="E9" s="107" t="s">
        <v>208</v>
      </c>
      <c r="F9" s="305">
        <v>155000</v>
      </c>
      <c r="G9" s="130">
        <f t="shared" si="0"/>
        <v>4448.5</v>
      </c>
      <c r="H9" s="130">
        <f t="shared" si="1"/>
        <v>4712</v>
      </c>
      <c r="I9" s="305"/>
      <c r="J9" s="130">
        <f t="shared" si="2"/>
        <v>9160.5</v>
      </c>
      <c r="K9" s="130">
        <f t="shared" si="3"/>
        <v>145839.5</v>
      </c>
      <c r="L9" s="130">
        <f t="shared" si="4"/>
        <v>25042.812291666665</v>
      </c>
      <c r="M9" s="135">
        <v>25</v>
      </c>
      <c r="N9" s="130">
        <f t="shared" si="5"/>
        <v>34228.312291666662</v>
      </c>
      <c r="O9" s="304">
        <f t="shared" si="6"/>
        <v>120771.68770833334</v>
      </c>
    </row>
    <row r="10" spans="1:15" s="128" customFormat="1" ht="35.1" customHeight="1" x14ac:dyDescent="0.2">
      <c r="A10" s="297">
        <v>4</v>
      </c>
      <c r="B10" s="291" t="s">
        <v>44</v>
      </c>
      <c r="C10" s="108" t="s">
        <v>334</v>
      </c>
      <c r="D10" s="107" t="s">
        <v>384</v>
      </c>
      <c r="E10" s="107" t="s">
        <v>569</v>
      </c>
      <c r="F10" s="305">
        <v>110000</v>
      </c>
      <c r="G10" s="130">
        <f t="shared" si="0"/>
        <v>3157</v>
      </c>
      <c r="H10" s="130">
        <f t="shared" si="1"/>
        <v>3344</v>
      </c>
      <c r="I10" s="305"/>
      <c r="J10" s="130">
        <f t="shared" si="2"/>
        <v>6501</v>
      </c>
      <c r="K10" s="130">
        <f t="shared" si="3"/>
        <v>103499</v>
      </c>
      <c r="L10" s="130">
        <f t="shared" si="4"/>
        <v>14457.687291666667</v>
      </c>
      <c r="M10" s="135">
        <v>10290.290000000001</v>
      </c>
      <c r="N10" s="130">
        <f t="shared" si="5"/>
        <v>31248.97729166667</v>
      </c>
      <c r="O10" s="304">
        <f t="shared" si="6"/>
        <v>78751.02270833333</v>
      </c>
    </row>
    <row r="11" spans="1:15" s="128" customFormat="1" ht="35.1" customHeight="1" x14ac:dyDescent="0.2">
      <c r="A11" s="297">
        <v>5</v>
      </c>
      <c r="B11" s="291" t="s">
        <v>206</v>
      </c>
      <c r="C11" s="108" t="s">
        <v>335</v>
      </c>
      <c r="D11" s="107" t="s">
        <v>126</v>
      </c>
      <c r="E11" s="107" t="s">
        <v>569</v>
      </c>
      <c r="F11" s="305">
        <v>100000</v>
      </c>
      <c r="G11" s="135">
        <f t="shared" si="0"/>
        <v>2870</v>
      </c>
      <c r="H11" s="135">
        <f t="shared" si="1"/>
        <v>3040</v>
      </c>
      <c r="I11" s="305"/>
      <c r="J11" s="130">
        <f t="shared" si="2"/>
        <v>5910</v>
      </c>
      <c r="K11" s="135">
        <f>+F11-J11</f>
        <v>94090</v>
      </c>
      <c r="L11" s="130">
        <f t="shared" si="4"/>
        <v>12105.437291666667</v>
      </c>
      <c r="M11" s="135">
        <v>10601.62</v>
      </c>
      <c r="N11" s="130">
        <f t="shared" si="5"/>
        <v>28617.057291666668</v>
      </c>
      <c r="O11" s="304">
        <f t="shared" si="6"/>
        <v>71382.942708333328</v>
      </c>
    </row>
    <row r="12" spans="1:15" ht="35.1" customHeight="1" x14ac:dyDescent="0.2">
      <c r="A12" s="297">
        <v>6</v>
      </c>
      <c r="B12" s="291" t="s">
        <v>625</v>
      </c>
      <c r="C12" s="108" t="s">
        <v>579</v>
      </c>
      <c r="D12" s="109" t="s">
        <v>627</v>
      </c>
      <c r="E12" s="109" t="s">
        <v>84</v>
      </c>
      <c r="F12" s="135">
        <v>80000</v>
      </c>
      <c r="G12" s="135">
        <f>F12*2.87%</f>
        <v>2296</v>
      </c>
      <c r="H12" s="135">
        <f>+F12*3.04%</f>
        <v>2432</v>
      </c>
      <c r="I12" s="135"/>
      <c r="J12" s="130">
        <f>+G12+H12+I12</f>
        <v>4728</v>
      </c>
      <c r="K12" s="135">
        <f>+F12-J12</f>
        <v>75272</v>
      </c>
      <c r="L12" s="130">
        <f t="shared" si="4"/>
        <v>7400.9372916666662</v>
      </c>
      <c r="M12" s="135">
        <v>4911.82</v>
      </c>
      <c r="N12" s="130">
        <f>+M12+L12+J12</f>
        <v>17040.757291666665</v>
      </c>
      <c r="O12" s="304">
        <f>+F12-N12</f>
        <v>62959.242708333331</v>
      </c>
    </row>
    <row r="13" spans="1:15" ht="35.1" customHeight="1" x14ac:dyDescent="0.2">
      <c r="A13" s="297">
        <v>7</v>
      </c>
      <c r="B13" s="291" t="s">
        <v>192</v>
      </c>
      <c r="C13" s="108" t="s">
        <v>334</v>
      </c>
      <c r="D13" s="109" t="s">
        <v>255</v>
      </c>
      <c r="E13" s="109" t="s">
        <v>11</v>
      </c>
      <c r="F13" s="135">
        <v>70000</v>
      </c>
      <c r="G13" s="135">
        <f t="shared" si="0"/>
        <v>2009</v>
      </c>
      <c r="H13" s="135">
        <f t="shared" si="1"/>
        <v>2128</v>
      </c>
      <c r="I13" s="135">
        <v>1919.78</v>
      </c>
      <c r="J13" s="130">
        <f>+G13+H13+I13</f>
        <v>6056.78</v>
      </c>
      <c r="K13" s="135">
        <f>+F13-J13</f>
        <v>63943.22</v>
      </c>
      <c r="L13" s="130">
        <f t="shared" si="4"/>
        <v>4984.4938333333339</v>
      </c>
      <c r="M13" s="135">
        <v>26027.85</v>
      </c>
      <c r="N13" s="130">
        <f>+M13+L13+J13</f>
        <v>37069.123833333331</v>
      </c>
      <c r="O13" s="304">
        <f>+F13-N13</f>
        <v>32930.876166666669</v>
      </c>
    </row>
    <row r="14" spans="1:15" s="148" customFormat="1" ht="42.75" customHeight="1" x14ac:dyDescent="0.2">
      <c r="A14" s="297">
        <v>8</v>
      </c>
      <c r="B14" s="291" t="s">
        <v>53</v>
      </c>
      <c r="C14" s="108" t="s">
        <v>335</v>
      </c>
      <c r="D14" s="107" t="s">
        <v>610</v>
      </c>
      <c r="E14" s="107" t="s">
        <v>50</v>
      </c>
      <c r="F14" s="135">
        <v>60000</v>
      </c>
      <c r="G14" s="135">
        <f>F14*2.87%</f>
        <v>1722</v>
      </c>
      <c r="H14" s="135">
        <f>+F14*3.04%</f>
        <v>1824</v>
      </c>
      <c r="I14" s="135">
        <f>1919.78*2</f>
        <v>3839.56</v>
      </c>
      <c r="J14" s="135">
        <f>+G14+H14+I14</f>
        <v>7385.5599999999995</v>
      </c>
      <c r="K14" s="135">
        <f>+F14-J14</f>
        <v>52614.44</v>
      </c>
      <c r="L14" s="130">
        <f t="shared" si="4"/>
        <v>2718.7378333333336</v>
      </c>
      <c r="M14" s="135">
        <v>1090.29</v>
      </c>
      <c r="N14" s="135">
        <f>+M14+L14+J14</f>
        <v>11194.587833333333</v>
      </c>
      <c r="O14" s="304">
        <f>+F14-N14</f>
        <v>48805.412166666669</v>
      </c>
    </row>
    <row r="15" spans="1:15" ht="35.1" customHeight="1" x14ac:dyDescent="0.2">
      <c r="A15" s="297">
        <v>9</v>
      </c>
      <c r="B15" s="302" t="s">
        <v>330</v>
      </c>
      <c r="C15" s="152" t="s">
        <v>334</v>
      </c>
      <c r="D15" s="306" t="s">
        <v>341</v>
      </c>
      <c r="E15" s="153" t="s">
        <v>331</v>
      </c>
      <c r="F15" s="130">
        <v>44000</v>
      </c>
      <c r="G15" s="130">
        <f t="shared" ref="G15" si="7">F15*2.87%</f>
        <v>1262.8</v>
      </c>
      <c r="H15" s="130">
        <f t="shared" ref="H15" si="8">+F15*3.04%</f>
        <v>1337.6</v>
      </c>
      <c r="I15" s="130"/>
      <c r="J15" s="130">
        <f t="shared" si="2"/>
        <v>2600.3999999999996</v>
      </c>
      <c r="K15" s="130">
        <f t="shared" ref="K15:K18" si="9">+F15-J15</f>
        <v>41399.599999999999</v>
      </c>
      <c r="L15" s="130">
        <f t="shared" si="4"/>
        <v>1007.1898749999992</v>
      </c>
      <c r="M15" s="307">
        <v>25</v>
      </c>
      <c r="N15" s="130">
        <f t="shared" si="5"/>
        <v>3632.5898749999988</v>
      </c>
      <c r="O15" s="304">
        <f t="shared" si="6"/>
        <v>40367.410125000002</v>
      </c>
    </row>
    <row r="16" spans="1:15" ht="35.1" customHeight="1" x14ac:dyDescent="0.2">
      <c r="A16" s="297">
        <v>10</v>
      </c>
      <c r="B16" s="291" t="s">
        <v>30</v>
      </c>
      <c r="C16" s="108" t="s">
        <v>334</v>
      </c>
      <c r="D16" s="107" t="s">
        <v>147</v>
      </c>
      <c r="E16" s="308" t="s">
        <v>76</v>
      </c>
      <c r="F16" s="292">
        <v>36000</v>
      </c>
      <c r="G16" s="293">
        <f t="shared" ref="G16:G18" si="10">F16*2.87%</f>
        <v>1033.2</v>
      </c>
      <c r="H16" s="293">
        <f t="shared" ref="H16:H18" si="11">+F16*3.04%</f>
        <v>1094.4000000000001</v>
      </c>
      <c r="I16" s="292"/>
      <c r="J16" s="130">
        <f t="shared" si="2"/>
        <v>2127.6000000000004</v>
      </c>
      <c r="K16" s="293">
        <f t="shared" si="9"/>
        <v>33872.400000000001</v>
      </c>
      <c r="L16" s="130">
        <f t="shared" si="4"/>
        <v>0</v>
      </c>
      <c r="M16" s="135">
        <v>25</v>
      </c>
      <c r="N16" s="130">
        <f t="shared" si="5"/>
        <v>2152.6000000000004</v>
      </c>
      <c r="O16" s="304">
        <f t="shared" si="6"/>
        <v>33847.4</v>
      </c>
    </row>
    <row r="17" spans="1:16" ht="35.1" customHeight="1" x14ac:dyDescent="0.2">
      <c r="A17" s="297">
        <v>11</v>
      </c>
      <c r="B17" s="291" t="s">
        <v>27</v>
      </c>
      <c r="C17" s="108" t="s">
        <v>334</v>
      </c>
      <c r="D17" s="109" t="s">
        <v>268</v>
      </c>
      <c r="E17" s="109" t="s">
        <v>25</v>
      </c>
      <c r="F17" s="292">
        <v>35000</v>
      </c>
      <c r="G17" s="293">
        <f t="shared" si="10"/>
        <v>1004.5</v>
      </c>
      <c r="H17" s="293">
        <f t="shared" si="11"/>
        <v>1064</v>
      </c>
      <c r="I17" s="292">
        <v>0</v>
      </c>
      <c r="J17" s="130">
        <f t="shared" si="2"/>
        <v>2068.5</v>
      </c>
      <c r="K17" s="293">
        <f t="shared" si="9"/>
        <v>32931.5</v>
      </c>
      <c r="L17" s="130">
        <f t="shared" si="4"/>
        <v>0</v>
      </c>
      <c r="M17" s="135">
        <v>265</v>
      </c>
      <c r="N17" s="130">
        <f t="shared" si="5"/>
        <v>2333.5</v>
      </c>
      <c r="O17" s="304">
        <f t="shared" si="6"/>
        <v>32666.5</v>
      </c>
    </row>
    <row r="18" spans="1:16" ht="35.1" customHeight="1" x14ac:dyDescent="0.2">
      <c r="A18" s="297">
        <v>12</v>
      </c>
      <c r="B18" s="291" t="s">
        <v>274</v>
      </c>
      <c r="C18" s="108" t="s">
        <v>334</v>
      </c>
      <c r="D18" s="109" t="s">
        <v>268</v>
      </c>
      <c r="E18" s="109" t="s">
        <v>25</v>
      </c>
      <c r="F18" s="292">
        <v>35000</v>
      </c>
      <c r="G18" s="293">
        <f t="shared" si="10"/>
        <v>1004.5</v>
      </c>
      <c r="H18" s="293">
        <f t="shared" si="11"/>
        <v>1064</v>
      </c>
      <c r="I18" s="292"/>
      <c r="J18" s="130">
        <f t="shared" si="2"/>
        <v>2068.5</v>
      </c>
      <c r="K18" s="293">
        <f t="shared" si="9"/>
        <v>32931.5</v>
      </c>
      <c r="L18" s="130">
        <f t="shared" si="4"/>
        <v>0</v>
      </c>
      <c r="M18" s="135">
        <v>225</v>
      </c>
      <c r="N18" s="130">
        <f t="shared" si="5"/>
        <v>2293.5</v>
      </c>
      <c r="O18" s="304">
        <f t="shared" si="6"/>
        <v>32706.5</v>
      </c>
    </row>
    <row r="19" spans="1:16" ht="35.1" customHeight="1" x14ac:dyDescent="0.2">
      <c r="A19" s="297">
        <v>13</v>
      </c>
      <c r="B19" s="291" t="s">
        <v>17</v>
      </c>
      <c r="C19" s="108" t="s">
        <v>579</v>
      </c>
      <c r="D19" s="109" t="s">
        <v>626</v>
      </c>
      <c r="E19" s="109" t="s">
        <v>75</v>
      </c>
      <c r="F19" s="135">
        <v>32000</v>
      </c>
      <c r="G19" s="135">
        <f>F19*2.87%</f>
        <v>918.4</v>
      </c>
      <c r="H19" s="135">
        <f>+F19*3.04%</f>
        <v>972.8</v>
      </c>
      <c r="I19" s="135">
        <v>1919.78</v>
      </c>
      <c r="J19" s="130">
        <f>+G19+H19+I19</f>
        <v>3810.9799999999996</v>
      </c>
      <c r="K19" s="135">
        <f>+F19-J19</f>
        <v>28189.02</v>
      </c>
      <c r="L19" s="130">
        <f t="shared" si="4"/>
        <v>0</v>
      </c>
      <c r="M19" s="135">
        <v>225</v>
      </c>
      <c r="N19" s="130">
        <f>+M19+L19+J19</f>
        <v>4035.9799999999996</v>
      </c>
      <c r="O19" s="304">
        <f>+F19-N19</f>
        <v>27964.02</v>
      </c>
    </row>
    <row r="20" spans="1:16" ht="35.1" customHeight="1" thickBot="1" x14ac:dyDescent="0.25">
      <c r="A20" s="297">
        <v>14</v>
      </c>
      <c r="B20" s="291" t="s">
        <v>275</v>
      </c>
      <c r="C20" s="108" t="s">
        <v>334</v>
      </c>
      <c r="D20" s="109" t="s">
        <v>268</v>
      </c>
      <c r="E20" s="109" t="s">
        <v>25</v>
      </c>
      <c r="F20" s="135">
        <v>26565</v>
      </c>
      <c r="G20" s="135">
        <f t="shared" ref="G20" si="12">F20*2.87%</f>
        <v>762.41549999999995</v>
      </c>
      <c r="H20" s="135">
        <f t="shared" ref="H20" si="13">+F20*3.04%</f>
        <v>807.57600000000002</v>
      </c>
      <c r="I20" s="135"/>
      <c r="J20" s="130">
        <f t="shared" si="2"/>
        <v>1569.9915000000001</v>
      </c>
      <c r="K20" s="135">
        <f t="shared" ref="K20" si="14">+F20-J20</f>
        <v>24995.0085</v>
      </c>
      <c r="L20" s="130">
        <f t="shared" si="4"/>
        <v>0</v>
      </c>
      <c r="M20" s="135">
        <v>13165.81</v>
      </c>
      <c r="N20" s="130">
        <f>+M20+L20+J20</f>
        <v>14735.8015</v>
      </c>
      <c r="O20" s="304">
        <f t="shared" si="6"/>
        <v>11829.1985</v>
      </c>
    </row>
    <row r="21" spans="1:16" ht="39.950000000000003" customHeight="1" thickBot="1" x14ac:dyDescent="0.25">
      <c r="A21" s="136"/>
      <c r="B21" s="136"/>
      <c r="C21" s="119"/>
      <c r="D21" s="119"/>
      <c r="E21" s="315" t="s">
        <v>326</v>
      </c>
      <c r="F21" s="298">
        <f t="shared" ref="F21:O21" si="15">SUM(F7:F20)</f>
        <v>1093565</v>
      </c>
      <c r="G21" s="298">
        <f t="shared" si="15"/>
        <v>31385.315500000001</v>
      </c>
      <c r="H21" s="298">
        <f t="shared" si="15"/>
        <v>33244.375999999997</v>
      </c>
      <c r="I21" s="298">
        <f t="shared" si="15"/>
        <v>9598.9</v>
      </c>
      <c r="J21" s="298">
        <f t="shared" si="15"/>
        <v>74228.591499999995</v>
      </c>
      <c r="K21" s="298">
        <f t="shared" si="15"/>
        <v>1019336.4084999999</v>
      </c>
      <c r="L21" s="298">
        <f t="shared" si="15"/>
        <v>117322.97529166663</v>
      </c>
      <c r="M21" s="298">
        <f t="shared" si="15"/>
        <v>76100.03</v>
      </c>
      <c r="N21" s="298">
        <f t="shared" si="15"/>
        <v>267651.59679166664</v>
      </c>
      <c r="O21" s="298">
        <f t="shared" si="15"/>
        <v>825913.40320833353</v>
      </c>
      <c r="P21" s="349"/>
    </row>
    <row r="22" spans="1:16" customFormat="1" ht="39.950000000000003" customHeight="1" x14ac:dyDescent="0.2">
      <c r="F22" s="126"/>
    </row>
    <row r="23" spans="1:16" ht="39.950000000000003" customHeight="1" thickBot="1" x14ac:dyDescent="0.25">
      <c r="B23" s="351" t="s">
        <v>618</v>
      </c>
      <c r="C23" s="351"/>
      <c r="D23" s="121"/>
      <c r="E23" s="396"/>
      <c r="F23" s="356"/>
      <c r="H23" s="122"/>
      <c r="I23" s="122"/>
      <c r="J23" s="122"/>
      <c r="O23" s="113"/>
    </row>
    <row r="24" spans="1:16" ht="39.950000000000003" customHeight="1" x14ac:dyDescent="0.2">
      <c r="B24" s="350" t="s">
        <v>632</v>
      </c>
      <c r="C24" s="350"/>
      <c r="D24" s="121"/>
      <c r="E24" s="357"/>
      <c r="F24" s="357"/>
      <c r="H24" s="122"/>
      <c r="I24" s="122"/>
      <c r="J24" s="122"/>
      <c r="O24" s="113"/>
    </row>
    <row r="25" spans="1:16" ht="39.950000000000003" customHeight="1" x14ac:dyDescent="0.25">
      <c r="B25" s="313"/>
      <c r="C25" s="313"/>
      <c r="D25" s="121"/>
      <c r="E25" s="314"/>
      <c r="F25" s="64"/>
      <c r="H25" s="122"/>
      <c r="I25" s="122"/>
      <c r="J25" s="122"/>
      <c r="O25" s="133"/>
    </row>
    <row r="26" spans="1:16" ht="39.950000000000003" customHeight="1" x14ac:dyDescent="0.25">
      <c r="B26" s="381"/>
      <c r="C26" s="381"/>
      <c r="E26" s="64"/>
      <c r="F26" s="64"/>
      <c r="O26" s="133"/>
    </row>
    <row r="27" spans="1:16" ht="39.950000000000003" customHeight="1" x14ac:dyDescent="0.2">
      <c r="O27" s="133"/>
    </row>
    <row r="28" spans="1:16" ht="39.950000000000003" customHeight="1" x14ac:dyDescent="0.2">
      <c r="O28" s="133"/>
    </row>
    <row r="29" spans="1:16" ht="39.950000000000003" customHeight="1" x14ac:dyDescent="0.2">
      <c r="O29" s="133"/>
    </row>
    <row r="34" spans="2:2" ht="39.950000000000003" customHeight="1" x14ac:dyDescent="0.2">
      <c r="B34" s="113" t="s">
        <v>496</v>
      </c>
    </row>
    <row r="877147" spans="13:13" ht="39.950000000000003" customHeight="1" x14ac:dyDescent="0.2">
      <c r="M877147" s="137" t="e">
        <f>SUM(#REF!)</f>
        <v>#REF!</v>
      </c>
    </row>
  </sheetData>
  <sortState xmlns:xlrd2="http://schemas.microsoft.com/office/spreadsheetml/2017/richdata2" ref="A15:O21">
    <sortCondition descending="1" ref="F15:F21"/>
  </sortState>
  <mergeCells count="9">
    <mergeCell ref="B24:C24"/>
    <mergeCell ref="B26:C26"/>
    <mergeCell ref="G5:H5"/>
    <mergeCell ref="A1:N1"/>
    <mergeCell ref="A2:N2"/>
    <mergeCell ref="A3:N3"/>
    <mergeCell ref="B23:C23"/>
    <mergeCell ref="E23:F23"/>
    <mergeCell ref="E24:F24"/>
  </mergeCells>
  <pageMargins left="0.17" right="0.17" top="0.17" bottom="0.17" header="0.17" footer="0.17"/>
  <pageSetup paperSize="5" scale="54" fitToHeight="0" orientation="landscape" r:id="rId1"/>
  <rowBreaks count="1" manualBreakCount="1">
    <brk id="51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7065-5810-4EEF-AD30-B319C9948A9B}">
  <sheetPr>
    <pageSetUpPr fitToPage="1"/>
  </sheetPr>
  <dimension ref="A1:P999849"/>
  <sheetViews>
    <sheetView showGridLines="0" tabSelected="1" zoomScale="70" zoomScaleNormal="70" zoomScaleSheetLayoutView="70" workbookViewId="0">
      <selection activeCell="I16" sqref="I16"/>
    </sheetView>
  </sheetViews>
  <sheetFormatPr baseColWidth="10" defaultColWidth="11.42578125" defaultRowHeight="35.1" customHeight="1" x14ac:dyDescent="0.2"/>
  <cols>
    <col min="1" max="1" width="6.42578125" style="113" customWidth="1"/>
    <col min="2" max="2" width="41.140625" style="144" customWidth="1"/>
    <col min="3" max="3" width="9.140625" style="113" customWidth="1"/>
    <col min="4" max="4" width="37.7109375" style="144" customWidth="1"/>
    <col min="5" max="5" width="29.28515625" style="144" customWidth="1"/>
    <col min="6" max="6" width="22.7109375" style="111" bestFit="1" customWidth="1"/>
    <col min="7" max="7" width="20.28515625" style="110" customWidth="1"/>
    <col min="8" max="8" width="24" style="110" customWidth="1"/>
    <col min="9" max="9" width="23.140625" style="110" customWidth="1"/>
    <col min="10" max="10" width="21.5703125" style="110" bestFit="1" customWidth="1"/>
    <col min="11" max="11" width="24" style="110" customWidth="1"/>
    <col min="12" max="12" width="22.28515625" style="110" customWidth="1"/>
    <col min="13" max="13" width="22.28515625" style="110" hidden="1" customWidth="1"/>
    <col min="14" max="14" width="19" style="110" customWidth="1"/>
    <col min="15" max="16" width="22.85546875" style="110" customWidth="1"/>
    <col min="17" max="17" width="17" style="110" customWidth="1"/>
    <col min="18" max="16384" width="11.42578125" style="110"/>
  </cols>
  <sheetData>
    <row r="1" spans="1:16" ht="26.25" customHeight="1" x14ac:dyDescent="0.2">
      <c r="A1" s="358" t="s">
        <v>324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</row>
    <row r="2" spans="1:16" ht="26.25" customHeight="1" x14ac:dyDescent="0.2">
      <c r="A2" s="359" t="s">
        <v>636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</row>
    <row r="3" spans="1:16" ht="21.75" customHeight="1" x14ac:dyDescent="0.2">
      <c r="A3" s="360" t="s">
        <v>661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</row>
    <row r="4" spans="1:16" ht="35.1" customHeight="1" thickBot="1" x14ac:dyDescent="0.25">
      <c r="A4" s="138"/>
      <c r="B4" s="138"/>
      <c r="C4" s="106"/>
      <c r="D4" s="143"/>
      <c r="E4" s="143"/>
      <c r="F4" s="106"/>
    </row>
    <row r="5" spans="1:16" ht="35.1" customHeight="1" thickBot="1" x14ac:dyDescent="0.25">
      <c r="A5" s="204" t="s">
        <v>429</v>
      </c>
      <c r="B5" s="205"/>
      <c r="C5" s="204"/>
      <c r="D5" s="205"/>
      <c r="E5" s="205"/>
      <c r="F5" s="206"/>
      <c r="G5" s="361" t="s">
        <v>95</v>
      </c>
      <c r="H5" s="362"/>
      <c r="I5" s="362"/>
      <c r="J5" s="363"/>
      <c r="K5" s="95"/>
      <c r="L5" s="149"/>
      <c r="M5" s="149"/>
      <c r="N5" s="149"/>
      <c r="O5" s="149"/>
      <c r="P5" s="149"/>
    </row>
    <row r="6" spans="1:16" s="207" customFormat="1" ht="35.1" customHeight="1" thickBot="1" x14ac:dyDescent="0.25">
      <c r="A6" s="19" t="s">
        <v>0</v>
      </c>
      <c r="B6" s="19" t="s">
        <v>292</v>
      </c>
      <c r="C6" s="19" t="s">
        <v>336</v>
      </c>
      <c r="D6" s="19" t="s">
        <v>348</v>
      </c>
      <c r="E6" s="19" t="s">
        <v>89</v>
      </c>
      <c r="F6" s="77" t="s">
        <v>98</v>
      </c>
      <c r="G6" s="78" t="s">
        <v>1</v>
      </c>
      <c r="H6" s="79" t="s">
        <v>2</v>
      </c>
      <c r="I6" s="82" t="s">
        <v>434</v>
      </c>
      <c r="J6" s="83" t="s">
        <v>435</v>
      </c>
      <c r="K6" s="80" t="s">
        <v>436</v>
      </c>
      <c r="L6" s="21" t="s">
        <v>90</v>
      </c>
      <c r="M6" s="21"/>
      <c r="N6" s="21" t="s">
        <v>92</v>
      </c>
      <c r="O6" s="21" t="s">
        <v>3</v>
      </c>
      <c r="P6" s="21" t="s">
        <v>91</v>
      </c>
    </row>
    <row r="7" spans="1:16" s="148" customFormat="1" ht="35.1" customHeight="1" thickBot="1" x14ac:dyDescent="0.25">
      <c r="A7" s="319" t="s">
        <v>123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</row>
    <row r="8" spans="1:16" s="149" customFormat="1" ht="46.5" customHeight="1" x14ac:dyDescent="0.2">
      <c r="A8" s="213">
        <v>1</v>
      </c>
      <c r="B8" s="214" t="s">
        <v>638</v>
      </c>
      <c r="C8" s="213" t="s">
        <v>335</v>
      </c>
      <c r="D8" s="220" t="s">
        <v>575</v>
      </c>
      <c r="E8" s="72" t="s">
        <v>637</v>
      </c>
      <c r="F8" s="215">
        <v>80000</v>
      </c>
      <c r="G8" s="216">
        <f>F8*2.87%</f>
        <v>2296</v>
      </c>
      <c r="H8" s="216">
        <f>+F8*3.04%</f>
        <v>2432</v>
      </c>
      <c r="I8" s="216">
        <v>0</v>
      </c>
      <c r="J8" s="215">
        <f>+G8+H8+I8</f>
        <v>4728</v>
      </c>
      <c r="K8" s="215">
        <f>+F8-J8</f>
        <v>75272</v>
      </c>
      <c r="L8" s="69">
        <f t="shared" ref="L8" si="0">+IF(K8*12&lt;=416220.01,0,IF(K8*12&lt;=624329.01,(((K8*12-416220.01)*0.15)/12),IF((K8*12&lt;=867123.01),(31216+0.2*(K8*12-624329.01))/12,((79776+0.25*(K8*12-867123.01))/12))))</f>
        <v>7400.9372916666662</v>
      </c>
      <c r="M8" s="215"/>
      <c r="N8" s="221">
        <v>1090.29</v>
      </c>
      <c r="O8" s="215">
        <f>+N8+I8+H8+G8+L8</f>
        <v>13219.227291666666</v>
      </c>
      <c r="P8" s="217">
        <f>+F8-O8</f>
        <v>66780.77270833333</v>
      </c>
    </row>
    <row r="9" spans="1:16" s="240" customFormat="1" ht="35.1" customHeight="1" x14ac:dyDescent="0.2">
      <c r="A9" s="223" t="s">
        <v>99</v>
      </c>
      <c r="B9" s="224"/>
      <c r="C9" s="224"/>
      <c r="D9" s="224"/>
      <c r="E9" s="239"/>
      <c r="F9" s="225">
        <f t="shared" ref="F9:L9" si="1">SUM(F8:F8)</f>
        <v>80000</v>
      </c>
      <c r="G9" s="225">
        <f t="shared" si="1"/>
        <v>2296</v>
      </c>
      <c r="H9" s="225">
        <f t="shared" si="1"/>
        <v>2432</v>
      </c>
      <c r="I9" s="225">
        <f t="shared" si="1"/>
        <v>0</v>
      </c>
      <c r="J9" s="225">
        <f t="shared" si="1"/>
        <v>4728</v>
      </c>
      <c r="K9" s="225">
        <f t="shared" si="1"/>
        <v>75272</v>
      </c>
      <c r="L9" s="225">
        <f t="shared" si="1"/>
        <v>7400.9372916666662</v>
      </c>
      <c r="M9" s="225"/>
      <c r="N9" s="225">
        <f>SUM(N8:N8)</f>
        <v>1090.29</v>
      </c>
      <c r="O9" s="225">
        <f>SUM(O8:O8)</f>
        <v>13219.227291666666</v>
      </c>
      <c r="P9" s="225">
        <f>SUM(P8:P8)</f>
        <v>66780.77270833333</v>
      </c>
    </row>
    <row r="10" spans="1:16" s="148" customFormat="1" ht="35.1" customHeight="1" x14ac:dyDescent="0.2">
      <c r="A10" s="275"/>
      <c r="B10" s="285"/>
      <c r="C10" s="286"/>
      <c r="D10" s="285"/>
      <c r="E10" s="285"/>
      <c r="G10" s="149"/>
      <c r="H10" s="149"/>
      <c r="I10" s="149"/>
      <c r="J10" s="149"/>
      <c r="K10" s="281"/>
      <c r="L10" s="149"/>
      <c r="M10" s="149"/>
      <c r="N10" s="149"/>
      <c r="O10" s="149"/>
      <c r="P10" s="149"/>
    </row>
    <row r="11" spans="1:16" s="148" customFormat="1" ht="35.1" customHeight="1" x14ac:dyDescent="0.2">
      <c r="A11" s="203"/>
      <c r="B11" s="147"/>
      <c r="C11" s="203"/>
      <c r="D11" s="147"/>
      <c r="E11" s="147"/>
      <c r="G11" s="149"/>
      <c r="H11" s="149"/>
      <c r="I11" s="149"/>
      <c r="J11" s="149"/>
      <c r="K11" s="149"/>
      <c r="L11" s="149"/>
      <c r="M11" s="149"/>
      <c r="N11" s="149"/>
      <c r="O11" s="149"/>
      <c r="P11" s="281"/>
    </row>
    <row r="12" spans="1:16" s="148" customFormat="1" ht="35.1" customHeight="1" thickBot="1" x14ac:dyDescent="0.25">
      <c r="A12" s="203"/>
      <c r="B12" s="351" t="s">
        <v>618</v>
      </c>
      <c r="C12" s="351"/>
      <c r="D12" s="120"/>
      <c r="E12" s="356"/>
      <c r="F12" s="356"/>
      <c r="G12" s="149"/>
      <c r="H12" s="149"/>
      <c r="I12" s="149"/>
      <c r="J12" s="149"/>
      <c r="K12" s="288"/>
      <c r="L12" s="149"/>
      <c r="M12" s="149"/>
      <c r="N12" s="149"/>
      <c r="O12" s="149"/>
      <c r="P12" s="149"/>
    </row>
    <row r="13" spans="1:16" s="148" customFormat="1" ht="35.1" customHeight="1" x14ac:dyDescent="0.2">
      <c r="A13" s="203"/>
      <c r="B13" s="350" t="s">
        <v>632</v>
      </c>
      <c r="C13" s="350"/>
      <c r="D13" s="120"/>
      <c r="E13" s="357"/>
      <c r="F13" s="357"/>
      <c r="G13" s="149"/>
      <c r="H13" s="149"/>
      <c r="I13" s="149"/>
      <c r="J13" s="149"/>
      <c r="K13" s="288"/>
      <c r="L13" s="149"/>
      <c r="M13" s="149"/>
      <c r="N13" s="149"/>
      <c r="O13" s="149"/>
      <c r="P13" s="149"/>
    </row>
    <row r="14" spans="1:16" s="148" customFormat="1" ht="35.1" customHeight="1" x14ac:dyDescent="0.2">
      <c r="A14" s="203"/>
      <c r="B14" s="147"/>
      <c r="C14" s="203"/>
      <c r="D14" s="147"/>
      <c r="E14" s="147"/>
      <c r="G14" s="149"/>
      <c r="H14" s="149"/>
      <c r="I14" s="149"/>
      <c r="J14" s="149"/>
      <c r="K14" s="288"/>
      <c r="L14" s="149"/>
      <c r="M14" s="149"/>
      <c r="N14" s="149"/>
      <c r="O14" s="149"/>
      <c r="P14" s="149"/>
    </row>
    <row r="15" spans="1:16" s="219" customFormat="1" ht="35.1" customHeight="1" x14ac:dyDescent="0.2">
      <c r="A15" s="203"/>
      <c r="B15" s="147"/>
      <c r="C15" s="203"/>
      <c r="D15" s="147"/>
      <c r="E15" s="147"/>
      <c r="F15" s="148"/>
      <c r="G15" s="149"/>
      <c r="H15" s="149"/>
      <c r="I15" s="149"/>
      <c r="J15" s="149"/>
      <c r="K15" s="288"/>
      <c r="L15" s="149"/>
      <c r="M15" s="149"/>
      <c r="N15" s="149"/>
      <c r="O15" s="149"/>
      <c r="P15" s="149"/>
    </row>
    <row r="16" spans="1:16" s="148" customFormat="1" ht="35.1" customHeight="1" x14ac:dyDescent="0.2">
      <c r="A16" s="203"/>
      <c r="B16" s="147"/>
      <c r="C16" s="203"/>
      <c r="D16" s="147"/>
      <c r="E16" s="147"/>
      <c r="G16" s="149"/>
      <c r="H16" s="149"/>
      <c r="I16" s="149"/>
      <c r="J16" s="149"/>
      <c r="K16" s="288"/>
      <c r="L16" s="149"/>
      <c r="M16" s="149"/>
      <c r="N16" s="149"/>
      <c r="O16" s="149"/>
      <c r="P16" s="149"/>
    </row>
    <row r="17" spans="1:16" s="148" customFormat="1" ht="35.1" customHeight="1" x14ac:dyDescent="0.2">
      <c r="A17" s="203"/>
      <c r="B17" s="147"/>
      <c r="C17" s="203"/>
      <c r="D17" s="147"/>
      <c r="E17" s="147"/>
      <c r="G17" s="149"/>
      <c r="H17" s="149"/>
      <c r="I17" s="149"/>
      <c r="J17" s="149"/>
      <c r="K17" s="288"/>
      <c r="L17" s="149"/>
      <c r="M17" s="149"/>
      <c r="N17" s="149"/>
      <c r="O17" s="149"/>
      <c r="P17" s="149"/>
    </row>
    <row r="18" spans="1:16" s="148" customFormat="1" ht="35.1" customHeight="1" x14ac:dyDescent="0.2">
      <c r="A18" s="203"/>
      <c r="B18" s="147"/>
      <c r="C18" s="203"/>
      <c r="D18" s="147"/>
      <c r="E18" s="147"/>
      <c r="G18" s="149"/>
      <c r="H18" s="149"/>
      <c r="I18" s="149"/>
      <c r="J18" s="149"/>
      <c r="K18" s="288"/>
      <c r="L18" s="149"/>
      <c r="M18" s="149"/>
      <c r="N18" s="149"/>
      <c r="O18" s="149"/>
      <c r="P18" s="149"/>
    </row>
    <row r="19" spans="1:16" s="148" customFormat="1" ht="35.1" customHeight="1" x14ac:dyDescent="0.2">
      <c r="A19" s="203"/>
      <c r="B19" s="147"/>
      <c r="C19" s="203"/>
      <c r="D19" s="147"/>
      <c r="E19" s="147"/>
      <c r="G19" s="149"/>
      <c r="H19" s="149"/>
      <c r="I19" s="149"/>
      <c r="J19" s="149"/>
      <c r="K19" s="149"/>
      <c r="L19" s="149"/>
      <c r="M19" s="149"/>
      <c r="N19" s="149"/>
      <c r="O19" s="149"/>
      <c r="P19" s="149"/>
    </row>
    <row r="20" spans="1:16" s="218" customFormat="1" ht="35.1" customHeight="1" x14ac:dyDescent="0.2">
      <c r="A20" s="203"/>
      <c r="B20" s="147"/>
      <c r="C20" s="203"/>
      <c r="D20" s="147"/>
      <c r="E20" s="147"/>
      <c r="F20" s="148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s="218" customFormat="1" ht="35.1" customHeight="1" x14ac:dyDescent="0.2">
      <c r="A21" s="203"/>
      <c r="B21" s="147"/>
      <c r="C21" s="203"/>
      <c r="D21" s="147"/>
      <c r="E21" s="147"/>
      <c r="F21" s="148"/>
      <c r="G21" s="149"/>
      <c r="H21" s="149"/>
      <c r="I21" s="149"/>
      <c r="J21" s="149"/>
      <c r="K21" s="149"/>
      <c r="L21" s="149"/>
      <c r="M21" s="149"/>
      <c r="N21" s="149"/>
      <c r="O21" s="149"/>
      <c r="P21" s="149"/>
    </row>
    <row r="16524" spans="2:16" s="113" customFormat="1" ht="35.1" customHeight="1" x14ac:dyDescent="0.2">
      <c r="B16524" s="144">
        <f>SUM(B6:B16523)</f>
        <v>0</v>
      </c>
      <c r="D16524" s="144"/>
      <c r="E16524" s="144"/>
      <c r="F16524" s="111"/>
      <c r="G16524" s="110"/>
      <c r="H16524" s="110"/>
      <c r="I16524" s="110"/>
      <c r="J16524" s="110"/>
      <c r="K16524" s="110"/>
      <c r="L16524" s="110"/>
      <c r="M16524" s="110"/>
      <c r="N16524" s="110"/>
      <c r="O16524" s="110"/>
      <c r="P16524" s="110"/>
    </row>
    <row r="16526" spans="2:16" s="113" customFormat="1" ht="35.1" customHeight="1" x14ac:dyDescent="0.2">
      <c r="B16526" s="144">
        <f>SUM(B16524)</f>
        <v>0</v>
      </c>
    </row>
    <row r="999849" spans="15:15" ht="35.1" customHeight="1" x14ac:dyDescent="0.2">
      <c r="O999849" s="123" t="e">
        <f>SUM(#REF!)</f>
        <v>#REF!</v>
      </c>
    </row>
  </sheetData>
  <mergeCells count="8">
    <mergeCell ref="B12:C12"/>
    <mergeCell ref="E12:F12"/>
    <mergeCell ref="B13:C13"/>
    <mergeCell ref="E13:F13"/>
    <mergeCell ref="A1:P1"/>
    <mergeCell ref="A2:P2"/>
    <mergeCell ref="A3:P3"/>
    <mergeCell ref="G5:J5"/>
  </mergeCells>
  <pageMargins left="0.23622047244094488" right="0.23622047244094488" top="0.31" bottom="0.25" header="0.31496062992125984" footer="0.26"/>
  <pageSetup paperSize="5" scale="50" fitToHeight="0" orientation="landscape" r:id="rId1"/>
  <rowBreaks count="1" manualBreakCount="1">
    <brk id="21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6b0d22-0a16-4c1a-9b76-95dfb845d415">
      <Terms xmlns="http://schemas.microsoft.com/office/infopath/2007/PartnerControls"/>
    </lcf76f155ced4ddcb4097134ff3c332f>
    <TaxCatchAll xmlns="d39205a1-5442-419a-b1e5-b39410ee3123" xsi:nil="true"/>
    <SharedWithUsers xmlns="d39205a1-5442-419a-b1e5-b39410ee3123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44F8717C9ACB448C12FDEBB3161D79" ma:contentTypeVersion="18" ma:contentTypeDescription="Create a new document." ma:contentTypeScope="" ma:versionID="7f169c88af2e83ed3f56cff7807ae97d">
  <xsd:schema xmlns:xsd="http://www.w3.org/2001/XMLSchema" xmlns:xs="http://www.w3.org/2001/XMLSchema" xmlns:p="http://schemas.microsoft.com/office/2006/metadata/properties" xmlns:ns2="bb6b0d22-0a16-4c1a-9b76-95dfb845d415" xmlns:ns3="d39205a1-5442-419a-b1e5-b39410ee3123" targetNamespace="http://schemas.microsoft.com/office/2006/metadata/properties" ma:root="true" ma:fieldsID="5dbab96737946865671203712beb5bf9" ns2:_="" ns3:_="">
    <xsd:import namespace="bb6b0d22-0a16-4c1a-9b76-95dfb845d415"/>
    <xsd:import namespace="d39205a1-5442-419a-b1e5-b39410ee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b0d22-0a16-4c1a-9b76-95dfb845d4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205a1-5442-419a-b1e5-b39410ee312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40e8d0-a452-42f7-af61-164b7a316f91}" ma:internalName="TaxCatchAll" ma:showField="CatchAllData" ma:web="d39205a1-5442-419a-b1e5-b39410ee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53B7AF-8626-4907-87F5-4A70941566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1DCC4A-8C20-4156-9075-D257B105D1EB}">
  <ds:schemaRefs>
    <ds:schemaRef ds:uri="bb6b0d22-0a16-4c1a-9b76-95dfb845d415"/>
    <ds:schemaRef ds:uri="http://purl.org/dc/terms/"/>
    <ds:schemaRef ds:uri="d39205a1-5442-419a-b1e5-b39410ee3123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AB3E430-5CB2-4D40-9B4B-E05574605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b0d22-0a16-4c1a-9b76-95dfb845d415"/>
    <ds:schemaRef ds:uri="d39205a1-5442-419a-b1e5-b39410ee3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NOMINA FIJOS </vt:lpstr>
      <vt:lpstr>PERSONAL TEMPORAL</vt:lpstr>
      <vt:lpstr>SUPLENCIA FIJOS</vt:lpstr>
      <vt:lpstr>TRAMITE PENSION </vt:lpstr>
      <vt:lpstr>PROBATORIO</vt:lpstr>
      <vt:lpstr>'NOMINA FIJOS '!Área_de_impresión</vt:lpstr>
      <vt:lpstr>'PERSONAL TEMPORAL'!Área_de_impresión</vt:lpstr>
      <vt:lpstr>PROBATORIO!Área_de_impresión</vt:lpstr>
      <vt:lpstr>'SUPLENCIA FIJOS'!Área_de_impresión</vt:lpstr>
      <vt:lpstr>'TRAMITE PENSION '!Área_de_impresión</vt:lpstr>
      <vt:lpstr>'NOMINA FIJOS '!Títulos_a_imprimir</vt:lpstr>
      <vt:lpstr>'PERSONAL TEMPORAL'!Títulos_a_imprimir</vt:lpstr>
      <vt:lpstr>PROBATORIO!Títulos_a_imprimir</vt:lpstr>
      <vt:lpstr>'SUPLENCIA FIJOS'!Títulos_a_imprimir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A. Grullon A.</dc:creator>
  <cp:lastModifiedBy>Julian José Acosta Acosta</cp:lastModifiedBy>
  <cp:lastPrinted>2026-08-31T13:52:30Z</cp:lastPrinted>
  <dcterms:created xsi:type="dcterms:W3CDTF">2019-01-11T19:06:47Z</dcterms:created>
  <dcterms:modified xsi:type="dcterms:W3CDTF">2026-08-31T15:21:49Z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0x0101003544F8717C9ACB448C12FDEBB3161D79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11609700</vt:r8>
  </property>
</Properties>
</file>