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ppaez\Downloads\"/>
    </mc:Choice>
  </mc:AlternateContent>
  <xr:revisionPtr revIDLastSave="0" documentId="8_{D7597626-CB2C-488D-885B-F50B9B86E59B}" xr6:coauthVersionLast="47" xr6:coauthVersionMax="47" xr10:uidLastSave="{00000000-0000-0000-0000-000000000000}"/>
  <bookViews>
    <workbookView xWindow="28680" yWindow="-12810" windowWidth="16440" windowHeight="28320" tabRatio="603" activeTab="4" xr2:uid="{00000000-000D-0000-FFFF-FFFF00000000}"/>
  </bookViews>
  <sheets>
    <sheet name="NOMINA FIJOS " sheetId="4" r:id="rId1"/>
    <sheet name="SUPLENCIA FIJOS" sheetId="16" r:id="rId2"/>
    <sheet name="PERSONAL TEMPORAL" sheetId="13" r:id="rId3"/>
    <sheet name="TRAMITE PENSION " sheetId="14" r:id="rId4"/>
    <sheet name="PROBATORIO" sheetId="17" r:id="rId5"/>
  </sheets>
  <definedNames>
    <definedName name="_xlnm.Print_Area" localSheetId="0">'NOMINA FIJOS '!$A$1:$O$357</definedName>
    <definedName name="_xlnm.Print_Area" localSheetId="2">'PERSONAL TEMPORAL'!$A$1:$R$281</definedName>
    <definedName name="_xlnm.Print_Area" localSheetId="4">PROBATORIO!$A$1:$P$21</definedName>
    <definedName name="_xlnm.Print_Area" localSheetId="1">'SUPLENCIA FIJOS'!$B$1:$L$136</definedName>
    <definedName name="_xlnm.Print_Area" localSheetId="3">'TRAMITE PENSION '!$A$1:$O$30</definedName>
    <definedName name="_xlnm.Print_Titles" localSheetId="0">'NOMINA FIJOS '!$1:$6</definedName>
    <definedName name="_xlnm.Print_Titles" localSheetId="2">'PERSONAL TEMPORAL'!$1:$7</definedName>
    <definedName name="_xlnm.Print_Titles" localSheetId="4">PROBATORIO!$1:$6</definedName>
    <definedName name="_xlnm.Print_Titles" localSheetId="1">'SUPLENCIA FIJOS'!$1:$6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99849" i="17" l="1"/>
  <c r="B16524" i="17"/>
  <c r="B16526" i="17" s="1"/>
  <c r="N9" i="17"/>
  <c r="I9" i="17"/>
  <c r="F9" i="17"/>
  <c r="H8" i="17"/>
  <c r="H9" i="17" s="1"/>
  <c r="G8" i="17"/>
  <c r="J8" i="17" s="1"/>
  <c r="J9" i="17" s="1"/>
  <c r="G9" i="17" l="1"/>
  <c r="K8" i="17"/>
  <c r="L8" i="17" l="1"/>
  <c r="K9" i="17"/>
  <c r="L9" i="17" l="1"/>
  <c r="O8" i="17"/>
  <c r="P8" i="17" l="1"/>
  <c r="P9" i="17" s="1"/>
  <c r="O9" i="17"/>
  <c r="A284" i="4" l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F274" i="4"/>
  <c r="K97" i="16" l="1"/>
  <c r="K65" i="16"/>
  <c r="K87" i="16"/>
  <c r="K61" i="16"/>
  <c r="L57" i="16"/>
  <c r="L53" i="16"/>
  <c r="K57" i="16"/>
  <c r="K53" i="16"/>
  <c r="I57" i="16"/>
  <c r="H57" i="16"/>
  <c r="O212" i="13"/>
  <c r="H212" i="13"/>
  <c r="J191" i="13"/>
  <c r="I191" i="13"/>
  <c r="K192" i="13"/>
  <c r="O192" i="13"/>
  <c r="P192" i="13"/>
  <c r="H192" i="13"/>
  <c r="F282" i="4"/>
  <c r="I282" i="4"/>
  <c r="M282" i="4"/>
  <c r="H281" i="4"/>
  <c r="G281" i="4"/>
  <c r="J281" i="4" s="1"/>
  <c r="K281" i="4" s="1"/>
  <c r="N281" i="4" l="1"/>
  <c r="O281" i="4" s="1"/>
  <c r="L191" i="13"/>
  <c r="M191" i="13" s="1"/>
  <c r="N191" i="13" s="1"/>
  <c r="Q191" i="13" s="1"/>
  <c r="R191" i="13" s="1"/>
  <c r="F21" i="14" l="1"/>
  <c r="M21" i="14"/>
  <c r="G12" i="14"/>
  <c r="H12" i="14"/>
  <c r="G19" i="14"/>
  <c r="H19" i="14"/>
  <c r="I87" i="16"/>
  <c r="H87" i="16"/>
  <c r="B118" i="16"/>
  <c r="O11" i="13"/>
  <c r="O20" i="13"/>
  <c r="O26" i="13"/>
  <c r="O35" i="13"/>
  <c r="O45" i="13"/>
  <c r="O49" i="13"/>
  <c r="O53" i="13"/>
  <c r="O58" i="13"/>
  <c r="O62" i="13"/>
  <c r="O66" i="13"/>
  <c r="O70" i="13"/>
  <c r="O74" i="13"/>
  <c r="O81" i="13"/>
  <c r="O87" i="13"/>
  <c r="O92" i="13"/>
  <c r="O96" i="13"/>
  <c r="O100" i="13"/>
  <c r="O107" i="13"/>
  <c r="O111" i="13"/>
  <c r="O114" i="13"/>
  <c r="O119" i="13"/>
  <c r="O122" i="13"/>
  <c r="O129" i="13"/>
  <c r="O135" i="13"/>
  <c r="O140" i="13"/>
  <c r="O145" i="13"/>
  <c r="O149" i="13"/>
  <c r="O155" i="13"/>
  <c r="O159" i="13"/>
  <c r="O164" i="13"/>
  <c r="O169" i="13"/>
  <c r="O173" i="13"/>
  <c r="O182" i="13"/>
  <c r="O186" i="13"/>
  <c r="O197" i="13"/>
  <c r="O202" i="13"/>
  <c r="O218" i="13"/>
  <c r="O224" i="13"/>
  <c r="O229" i="13"/>
  <c r="O233" i="13"/>
  <c r="O237" i="13"/>
  <c r="O241" i="13"/>
  <c r="O245" i="13"/>
  <c r="O249" i="13"/>
  <c r="O254" i="13"/>
  <c r="O258" i="13"/>
  <c r="O262" i="13"/>
  <c r="O271" i="13"/>
  <c r="K182" i="13"/>
  <c r="P182" i="13"/>
  <c r="H182" i="13"/>
  <c r="I181" i="13"/>
  <c r="J181" i="13"/>
  <c r="J118" i="13"/>
  <c r="I118" i="13"/>
  <c r="K119" i="13"/>
  <c r="P119" i="13"/>
  <c r="H119" i="13"/>
  <c r="H111" i="13"/>
  <c r="K111" i="13"/>
  <c r="P111" i="13"/>
  <c r="J110" i="13"/>
  <c r="I110" i="13"/>
  <c r="H35" i="13"/>
  <c r="P35" i="13"/>
  <c r="I34" i="13"/>
  <c r="J34" i="13"/>
  <c r="M274" i="4"/>
  <c r="G245" i="4"/>
  <c r="H245" i="4"/>
  <c r="A210" i="4"/>
  <c r="A11" i="4"/>
  <c r="J245" i="4" l="1"/>
  <c r="K245" i="4" s="1"/>
  <c r="L245" i="4" s="1"/>
  <c r="N245" i="4" s="1"/>
  <c r="O245" i="4" s="1"/>
  <c r="J12" i="14"/>
  <c r="K12" i="14" s="1"/>
  <c r="L12" i="14" s="1"/>
  <c r="N12" i="14" s="1"/>
  <c r="O12" i="14" s="1"/>
  <c r="J19" i="14"/>
  <c r="L181" i="13"/>
  <c r="L110" i="13"/>
  <c r="M110" i="13" s="1"/>
  <c r="N110" i="13" s="1"/>
  <c r="Q110" i="13" s="1"/>
  <c r="R110" i="13" s="1"/>
  <c r="L118" i="13"/>
  <c r="M118" i="13" s="1"/>
  <c r="N118" i="13" s="1"/>
  <c r="Q118" i="13" s="1"/>
  <c r="L34" i="13"/>
  <c r="M102" i="4"/>
  <c r="G101" i="4"/>
  <c r="F102" i="4"/>
  <c r="H101" i="4"/>
  <c r="I78" i="4"/>
  <c r="M78" i="4"/>
  <c r="F78" i="4"/>
  <c r="H77" i="4"/>
  <c r="G77" i="4"/>
  <c r="I40" i="4"/>
  <c r="M40" i="4"/>
  <c r="F40" i="4"/>
  <c r="H39" i="4"/>
  <c r="G39" i="4"/>
  <c r="I14" i="14"/>
  <c r="I21" i="14" s="1"/>
  <c r="K216" i="13"/>
  <c r="K208" i="13"/>
  <c r="K212" i="13" s="1"/>
  <c r="K143" i="13"/>
  <c r="K65" i="13"/>
  <c r="P45" i="13"/>
  <c r="K30" i="13"/>
  <c r="K35" i="13" s="1"/>
  <c r="I311" i="4"/>
  <c r="I249" i="4"/>
  <c r="I274" i="4" s="1"/>
  <c r="I138" i="4"/>
  <c r="I126" i="4"/>
  <c r="I81" i="4"/>
  <c r="I66" i="4"/>
  <c r="I64" i="4"/>
  <c r="I58" i="4"/>
  <c r="J39" i="4" l="1"/>
  <c r="K39" i="4" s="1"/>
  <c r="L39" i="4" s="1"/>
  <c r="N39" i="4" s="1"/>
  <c r="O39" i="4" s="1"/>
  <c r="K19" i="14"/>
  <c r="M181" i="13"/>
  <c r="R118" i="13"/>
  <c r="M34" i="13"/>
  <c r="J101" i="4"/>
  <c r="K101" i="4" s="1"/>
  <c r="J77" i="4"/>
  <c r="K77" i="4" s="1"/>
  <c r="L77" i="4" s="1"/>
  <c r="N77" i="4" s="1"/>
  <c r="O77" i="4" s="1"/>
  <c r="H45" i="13"/>
  <c r="L19" i="14" l="1"/>
  <c r="N19" i="14" s="1"/>
  <c r="O19" i="14" s="1"/>
  <c r="N181" i="13"/>
  <c r="Q181" i="13" s="1"/>
  <c r="N34" i="13"/>
  <c r="Q34" i="13" s="1"/>
  <c r="R34" i="13" s="1"/>
  <c r="L101" i="4"/>
  <c r="N101" i="4" s="1"/>
  <c r="O101" i="4" s="1"/>
  <c r="H202" i="13"/>
  <c r="K202" i="13"/>
  <c r="P202" i="13"/>
  <c r="K254" i="13"/>
  <c r="P254" i="13"/>
  <c r="H254" i="13"/>
  <c r="K245" i="13"/>
  <c r="P245" i="13"/>
  <c r="H245" i="13"/>
  <c r="I244" i="13"/>
  <c r="J244" i="13"/>
  <c r="P224" i="13"/>
  <c r="K224" i="13"/>
  <c r="H224" i="13"/>
  <c r="P209" i="13"/>
  <c r="P208" i="13"/>
  <c r="P205" i="13"/>
  <c r="P212" i="13" s="1"/>
  <c r="I201" i="13"/>
  <c r="J201" i="13"/>
  <c r="P104" i="13"/>
  <c r="P95" i="13"/>
  <c r="P84" i="13"/>
  <c r="P56" i="13"/>
  <c r="P52" i="13"/>
  <c r="I44" i="13"/>
  <c r="J44" i="13"/>
  <c r="K45" i="13"/>
  <c r="P17" i="13"/>
  <c r="R181" i="13" l="1"/>
  <c r="L244" i="13"/>
  <c r="M244" i="13" s="1"/>
  <c r="N244" i="13" s="1"/>
  <c r="Q244" i="13" s="1"/>
  <c r="R244" i="13" s="1"/>
  <c r="L201" i="13"/>
  <c r="M201" i="13" s="1"/>
  <c r="N201" i="13" s="1"/>
  <c r="Q201" i="13" s="1"/>
  <c r="R201" i="13" s="1"/>
  <c r="L44" i="13"/>
  <c r="M44" i="13" s="1"/>
  <c r="N44" i="13" l="1"/>
  <c r="Q44" i="13" l="1"/>
  <c r="R44" i="13" s="1"/>
  <c r="L42" i="4" l="1"/>
  <c r="I308" i="4"/>
  <c r="M308" i="4"/>
  <c r="F308" i="4"/>
  <c r="G88" i="16" l="1"/>
  <c r="A227" i="13"/>
  <c r="A13" i="4"/>
  <c r="A14" i="4" s="1"/>
  <c r="A15" i="4" s="1"/>
  <c r="A16" i="4" s="1"/>
  <c r="F17" i="4"/>
  <c r="J110" i="16" l="1"/>
  <c r="G110" i="16"/>
  <c r="I109" i="16"/>
  <c r="I110" i="16" s="1"/>
  <c r="H109" i="16"/>
  <c r="H110" i="16" s="1"/>
  <c r="I210" i="13"/>
  <c r="J210" i="13"/>
  <c r="P135" i="13"/>
  <c r="K135" i="13"/>
  <c r="H135" i="13"/>
  <c r="J134" i="13"/>
  <c r="I134" i="13"/>
  <c r="J133" i="13"/>
  <c r="I133" i="13"/>
  <c r="I10" i="13"/>
  <c r="J10" i="13"/>
  <c r="G306" i="4"/>
  <c r="H306" i="4"/>
  <c r="H206" i="4"/>
  <c r="G206" i="4"/>
  <c r="I207" i="4"/>
  <c r="M207" i="4"/>
  <c r="F207" i="4"/>
  <c r="H14" i="14"/>
  <c r="G14" i="14"/>
  <c r="J14" i="14" l="1"/>
  <c r="K14" i="14" s="1"/>
  <c r="L14" i="14" s="1"/>
  <c r="N14" i="14" s="1"/>
  <c r="O14" i="14" s="1"/>
  <c r="L210" i="13"/>
  <c r="M210" i="13" s="1"/>
  <c r="N210" i="13" s="1"/>
  <c r="Q210" i="13" s="1"/>
  <c r="R210" i="13" s="1"/>
  <c r="K109" i="16"/>
  <c r="L109" i="16" s="1"/>
  <c r="L110" i="16" s="1"/>
  <c r="I135" i="13"/>
  <c r="L134" i="13"/>
  <c r="M134" i="13" s="1"/>
  <c r="N134" i="13" s="1"/>
  <c r="Q134" i="13" s="1"/>
  <c r="R134" i="13" s="1"/>
  <c r="J135" i="13"/>
  <c r="L133" i="13"/>
  <c r="M133" i="13" s="1"/>
  <c r="N133" i="13" s="1"/>
  <c r="Q133" i="13" s="1"/>
  <c r="R133" i="13" s="1"/>
  <c r="J206" i="4"/>
  <c r="K206" i="4" s="1"/>
  <c r="L206" i="4" s="1"/>
  <c r="J306" i="4"/>
  <c r="N206" i="4" l="1"/>
  <c r="O206" i="4" s="1"/>
  <c r="K110" i="16"/>
  <c r="L135" i="13"/>
  <c r="M135" i="13"/>
  <c r="K306" i="4"/>
  <c r="L306" i="4" s="1"/>
  <c r="N135" i="13" l="1"/>
  <c r="Q135" i="13" l="1"/>
  <c r="R135" i="13"/>
  <c r="N306" i="4"/>
  <c r="O306" i="4" s="1"/>
  <c r="I73" i="16" l="1"/>
  <c r="H73" i="16"/>
  <c r="K87" i="13"/>
  <c r="P87" i="13"/>
  <c r="H87" i="13"/>
  <c r="K53" i="13"/>
  <c r="P53" i="13"/>
  <c r="H53" i="13"/>
  <c r="K81" i="13"/>
  <c r="P81" i="13"/>
  <c r="H81" i="13"/>
  <c r="G273" i="4"/>
  <c r="H273" i="4"/>
  <c r="I17" i="4"/>
  <c r="M17" i="4"/>
  <c r="G15" i="4"/>
  <c r="H16" i="4"/>
  <c r="H15" i="4"/>
  <c r="G16" i="4"/>
  <c r="J15" i="4" l="1"/>
  <c r="K15" i="4" s="1"/>
  <c r="L15" i="4" s="1"/>
  <c r="J16" i="4"/>
  <c r="K16" i="4" s="1"/>
  <c r="L16" i="4" s="1"/>
  <c r="K73" i="16"/>
  <c r="J273" i="4"/>
  <c r="N16" i="4" l="1"/>
  <c r="O16" i="4" s="1"/>
  <c r="N15" i="4"/>
  <c r="O15" i="4" s="1"/>
  <c r="K273" i="4"/>
  <c r="L273" i="4" l="1"/>
  <c r="N273" i="4" s="1"/>
  <c r="O273" i="4" s="1"/>
  <c r="I85" i="13" l="1"/>
  <c r="J85" i="13"/>
  <c r="I86" i="13"/>
  <c r="J86" i="13"/>
  <c r="I43" i="13"/>
  <c r="J43" i="13"/>
  <c r="I42" i="13"/>
  <c r="J42" i="13"/>
  <c r="G305" i="4"/>
  <c r="H305" i="4"/>
  <c r="G304" i="4"/>
  <c r="H304" i="4"/>
  <c r="G272" i="4"/>
  <c r="H272" i="4"/>
  <c r="L43" i="13" l="1"/>
  <c r="M43" i="13" s="1"/>
  <c r="N43" i="13" s="1"/>
  <c r="Q43" i="13" s="1"/>
  <c r="R43" i="13" s="1"/>
  <c r="L42" i="13"/>
  <c r="J305" i="4"/>
  <c r="J304" i="4"/>
  <c r="J272" i="4"/>
  <c r="M42" i="13" l="1"/>
  <c r="K305" i="4"/>
  <c r="L305" i="4" s="1"/>
  <c r="K304" i="4"/>
  <c r="L304" i="4" s="1"/>
  <c r="K272" i="4"/>
  <c r="L272" i="4" l="1"/>
  <c r="N272" i="4" s="1"/>
  <c r="O272" i="4" s="1"/>
  <c r="N42" i="13"/>
  <c r="Q42" i="13" s="1"/>
  <c r="R42" i="13" s="1"/>
  <c r="N305" i="4"/>
  <c r="O305" i="4" s="1"/>
  <c r="N304" i="4"/>
  <c r="O304" i="4" s="1"/>
  <c r="G13" i="14" l="1"/>
  <c r="H13" i="14"/>
  <c r="I88" i="16"/>
  <c r="H88" i="16"/>
  <c r="J88" i="16"/>
  <c r="I31" i="16"/>
  <c r="I33" i="16" s="1"/>
  <c r="H31" i="16"/>
  <c r="H33" i="16" s="1"/>
  <c r="K32" i="16"/>
  <c r="G33" i="16"/>
  <c r="J33" i="16"/>
  <c r="P229" i="13"/>
  <c r="K229" i="13"/>
  <c r="H229" i="13"/>
  <c r="J222" i="13"/>
  <c r="I222" i="13"/>
  <c r="J200" i="13"/>
  <c r="J202" i="13" s="1"/>
  <c r="I200" i="13"/>
  <c r="I202" i="13" s="1"/>
  <c r="I253" i="13"/>
  <c r="K140" i="13"/>
  <c r="P140" i="13"/>
  <c r="H140" i="13"/>
  <c r="K107" i="13"/>
  <c r="P107" i="13"/>
  <c r="H107" i="13"/>
  <c r="J106" i="13"/>
  <c r="I106" i="13"/>
  <c r="P74" i="13"/>
  <c r="H74" i="13"/>
  <c r="K74" i="13"/>
  <c r="L222" i="13" l="1"/>
  <c r="J13" i="14"/>
  <c r="K31" i="16"/>
  <c r="L31" i="16" s="1"/>
  <c r="L106" i="13"/>
  <c r="M106" i="13" s="1"/>
  <c r="N106" i="13" s="1"/>
  <c r="Q106" i="13" s="1"/>
  <c r="R106" i="13" s="1"/>
  <c r="L200" i="13"/>
  <c r="L202" i="13" s="1"/>
  <c r="F139" i="4"/>
  <c r="M114" i="4"/>
  <c r="I114" i="4"/>
  <c r="F114" i="4"/>
  <c r="H113" i="4"/>
  <c r="G113" i="4"/>
  <c r="M222" i="13" l="1"/>
  <c r="N222" i="13" s="1"/>
  <c r="K13" i="14"/>
  <c r="L13" i="14" s="1"/>
  <c r="K33" i="16"/>
  <c r="M200" i="13"/>
  <c r="M202" i="13" s="1"/>
  <c r="J113" i="4"/>
  <c r="K113" i="4" s="1"/>
  <c r="L113" i="4" l="1"/>
  <c r="N113" i="4" s="1"/>
  <c r="O113" i="4" s="1"/>
  <c r="Q222" i="13"/>
  <c r="N13" i="14"/>
  <c r="O13" i="14" s="1"/>
  <c r="N200" i="13"/>
  <c r="N202" i="13" s="1"/>
  <c r="R222" i="13" l="1"/>
  <c r="Q200" i="13"/>
  <c r="Q202" i="13" s="1"/>
  <c r="R200" i="13" l="1"/>
  <c r="R202" i="13" s="1"/>
  <c r="K159" i="13" l="1"/>
  <c r="P159" i="13"/>
  <c r="H159" i="13"/>
  <c r="I158" i="13"/>
  <c r="J158" i="13"/>
  <c r="K114" i="13"/>
  <c r="P114" i="13"/>
  <c r="H114" i="13"/>
  <c r="K96" i="13"/>
  <c r="P96" i="13"/>
  <c r="H96" i="13"/>
  <c r="K66" i="13"/>
  <c r="P66" i="13"/>
  <c r="H66" i="13"/>
  <c r="P70" i="13"/>
  <c r="K70" i="13"/>
  <c r="H70" i="13"/>
  <c r="J69" i="13"/>
  <c r="I69" i="13"/>
  <c r="J95" i="13"/>
  <c r="I95" i="13"/>
  <c r="I196" i="13"/>
  <c r="I139" i="4"/>
  <c r="M139" i="4"/>
  <c r="I132" i="4"/>
  <c r="M132" i="4"/>
  <c r="F132" i="4"/>
  <c r="I127" i="4"/>
  <c r="M127" i="4"/>
  <c r="F127" i="4"/>
  <c r="F120" i="4"/>
  <c r="I102" i="4"/>
  <c r="F84" i="4"/>
  <c r="I67" i="4"/>
  <c r="M67" i="4"/>
  <c r="F67" i="4"/>
  <c r="I47" i="4"/>
  <c r="M47" i="4"/>
  <c r="F47" i="4"/>
  <c r="M148" i="4"/>
  <c r="I148" i="4"/>
  <c r="F148" i="4"/>
  <c r="L32" i="4"/>
  <c r="G33" i="4"/>
  <c r="H33" i="4"/>
  <c r="I33" i="4"/>
  <c r="J33" i="4"/>
  <c r="K33" i="4"/>
  <c r="M33" i="4"/>
  <c r="F33" i="4"/>
  <c r="L158" i="13" l="1"/>
  <c r="M158" i="13" s="1"/>
  <c r="N158" i="13" s="1"/>
  <c r="Q158" i="13" s="1"/>
  <c r="R158" i="13" s="1"/>
  <c r="L33" i="4"/>
  <c r="N32" i="4"/>
  <c r="O32" i="4" s="1"/>
  <c r="O33" i="4" s="1"/>
  <c r="L69" i="13"/>
  <c r="I70" i="13"/>
  <c r="J70" i="13"/>
  <c r="L95" i="13"/>
  <c r="M69" i="13" l="1"/>
  <c r="N69" i="13" s="1"/>
  <c r="Q69" i="13" s="1"/>
  <c r="R69" i="13" s="1"/>
  <c r="R70" i="13" s="1"/>
  <c r="M95" i="13"/>
  <c r="L70" i="13"/>
  <c r="M70" i="13" l="1"/>
  <c r="N95" i="13"/>
  <c r="N96" i="13" s="1"/>
  <c r="N70" i="13" l="1"/>
  <c r="Q95" i="13"/>
  <c r="Q70" i="13" l="1"/>
  <c r="R95" i="13"/>
  <c r="H49" i="13" l="1"/>
  <c r="H26" i="13"/>
  <c r="H20" i="13"/>
  <c r="H173" i="13"/>
  <c r="K173" i="13"/>
  <c r="P173" i="13"/>
  <c r="K92" i="13"/>
  <c r="P92" i="13"/>
  <c r="H92" i="13"/>
  <c r="I80" i="13"/>
  <c r="J80" i="13"/>
  <c r="K58" i="13"/>
  <c r="P58" i="13"/>
  <c r="H58" i="13"/>
  <c r="I57" i="13"/>
  <c r="J57" i="13"/>
  <c r="P49" i="13"/>
  <c r="K49" i="13"/>
  <c r="J48" i="13"/>
  <c r="J49" i="13" s="1"/>
  <c r="I48" i="13"/>
  <c r="I49" i="13" s="1"/>
  <c r="G303" i="4"/>
  <c r="H303" i="4"/>
  <c r="G271" i="4"/>
  <c r="H271" i="4"/>
  <c r="G270" i="4"/>
  <c r="H270" i="4"/>
  <c r="H186" i="4"/>
  <c r="G186" i="4"/>
  <c r="I84" i="4"/>
  <c r="M84" i="4"/>
  <c r="F25" i="4"/>
  <c r="J186" i="4" l="1"/>
  <c r="K186" i="4" s="1"/>
  <c r="L57" i="13"/>
  <c r="M57" i="13" s="1"/>
  <c r="L80" i="13"/>
  <c r="M80" i="13" s="1"/>
  <c r="L48" i="13"/>
  <c r="J303" i="4"/>
  <c r="J271" i="4"/>
  <c r="J270" i="4"/>
  <c r="J42" i="16"/>
  <c r="G42" i="16"/>
  <c r="J38" i="16"/>
  <c r="G38" i="16"/>
  <c r="I27" i="16"/>
  <c r="I23" i="16"/>
  <c r="I24" i="16" s="1"/>
  <c r="H23" i="16"/>
  <c r="H24" i="16" s="1"/>
  <c r="G24" i="16"/>
  <c r="G84" i="16"/>
  <c r="H27" i="16"/>
  <c r="J24" i="16"/>
  <c r="J13" i="16"/>
  <c r="G13" i="16"/>
  <c r="J56" i="13"/>
  <c r="I56" i="13"/>
  <c r="P20" i="13"/>
  <c r="I19" i="13"/>
  <c r="J19" i="13"/>
  <c r="H16" i="14"/>
  <c r="G16" i="14"/>
  <c r="L186" i="4" l="1"/>
  <c r="N186" i="4" s="1"/>
  <c r="O186" i="4" s="1"/>
  <c r="M48" i="13"/>
  <c r="N48" i="13" s="1"/>
  <c r="N49" i="13" s="1"/>
  <c r="J16" i="14"/>
  <c r="K16" i="14" s="1"/>
  <c r="L16" i="14" s="1"/>
  <c r="N57" i="13"/>
  <c r="Q57" i="13" s="1"/>
  <c r="R57" i="13" s="1"/>
  <c r="L49" i="13"/>
  <c r="K303" i="4"/>
  <c r="L303" i="4" s="1"/>
  <c r="K271" i="4"/>
  <c r="K270" i="4"/>
  <c r="K24" i="16"/>
  <c r="L56" i="13"/>
  <c r="L19" i="13"/>
  <c r="H279" i="4"/>
  <c r="G279" i="4"/>
  <c r="H302" i="4"/>
  <c r="G302" i="4"/>
  <c r="G269" i="4"/>
  <c r="H269" i="4"/>
  <c r="G268" i="4"/>
  <c r="H268" i="4"/>
  <c r="G267" i="4"/>
  <c r="H267" i="4"/>
  <c r="H100" i="4"/>
  <c r="G100" i="4"/>
  <c r="H21" i="4"/>
  <c r="G21" i="4"/>
  <c r="N42" i="4"/>
  <c r="O42" i="4" s="1"/>
  <c r="N33" i="4"/>
  <c r="H10" i="14"/>
  <c r="G10" i="14"/>
  <c r="H9" i="14"/>
  <c r="G9" i="14"/>
  <c r="H11" i="14"/>
  <c r="G11" i="14"/>
  <c r="I61" i="4"/>
  <c r="M61" i="4"/>
  <c r="F61" i="4"/>
  <c r="H58" i="4"/>
  <c r="G58" i="4"/>
  <c r="G8" i="14"/>
  <c r="H8" i="14"/>
  <c r="H7" i="14"/>
  <c r="G7" i="14"/>
  <c r="H64" i="4"/>
  <c r="G64" i="4"/>
  <c r="K249" i="13"/>
  <c r="P249" i="13"/>
  <c r="H249" i="13"/>
  <c r="P241" i="13"/>
  <c r="K241" i="13"/>
  <c r="H241" i="13"/>
  <c r="J240" i="13"/>
  <c r="J241" i="13" s="1"/>
  <c r="I240" i="13"/>
  <c r="I241" i="13" s="1"/>
  <c r="H169" i="13"/>
  <c r="J247" i="13"/>
  <c r="I247" i="13"/>
  <c r="I317" i="4"/>
  <c r="M317" i="4"/>
  <c r="F317" i="4"/>
  <c r="G18" i="14"/>
  <c r="H18" i="14"/>
  <c r="G17" i="14"/>
  <c r="H17" i="14"/>
  <c r="H315" i="4"/>
  <c r="G315" i="4"/>
  <c r="H14" i="4"/>
  <c r="G14" i="4"/>
  <c r="L271" i="4" l="1"/>
  <c r="N271" i="4" s="1"/>
  <c r="L270" i="4"/>
  <c r="N270" i="4" s="1"/>
  <c r="N16" i="14"/>
  <c r="O16" i="14" s="1"/>
  <c r="M49" i="13"/>
  <c r="Q48" i="13"/>
  <c r="L23" i="16"/>
  <c r="L24" i="16" s="1"/>
  <c r="M56" i="13"/>
  <c r="J7" i="14"/>
  <c r="J18" i="14"/>
  <c r="K18" i="14" s="1"/>
  <c r="L18" i="14" s="1"/>
  <c r="J9" i="14"/>
  <c r="J17" i="14"/>
  <c r="K17" i="14" s="1"/>
  <c r="L17" i="14" s="1"/>
  <c r="J8" i="14"/>
  <c r="K8" i="14" s="1"/>
  <c r="L8" i="14" s="1"/>
  <c r="J11" i="14"/>
  <c r="K11" i="14" s="1"/>
  <c r="L11" i="14" s="1"/>
  <c r="J10" i="14"/>
  <c r="K10" i="14" s="1"/>
  <c r="L10" i="14" s="1"/>
  <c r="M19" i="13"/>
  <c r="J302" i="4"/>
  <c r="K302" i="4" s="1"/>
  <c r="L302" i="4" s="1"/>
  <c r="J21" i="4"/>
  <c r="J279" i="4"/>
  <c r="K279" i="4" s="1"/>
  <c r="L279" i="4" s="1"/>
  <c r="J268" i="4"/>
  <c r="K268" i="4" s="1"/>
  <c r="J269" i="4"/>
  <c r="J267" i="4"/>
  <c r="J100" i="4"/>
  <c r="K100" i="4" s="1"/>
  <c r="L100" i="4" s="1"/>
  <c r="J64" i="4"/>
  <c r="J58" i="4"/>
  <c r="L247" i="13"/>
  <c r="L240" i="13"/>
  <c r="J14" i="4"/>
  <c r="K14" i="4" s="1"/>
  <c r="L14" i="4" s="1"/>
  <c r="N14" i="4" s="1"/>
  <c r="J315" i="4"/>
  <c r="L268" i="4" l="1"/>
  <c r="N268" i="4" s="1"/>
  <c r="O268" i="4" s="1"/>
  <c r="N11" i="14"/>
  <c r="O11" i="14" s="1"/>
  <c r="N17" i="14"/>
  <c r="O17" i="14" s="1"/>
  <c r="N18" i="14"/>
  <c r="O18" i="14" s="1"/>
  <c r="N19" i="13"/>
  <c r="Q19" i="13" s="1"/>
  <c r="R19" i="13" s="1"/>
  <c r="O14" i="4"/>
  <c r="Q49" i="13"/>
  <c r="R48" i="13"/>
  <c r="R49" i="13" s="1"/>
  <c r="N8" i="14"/>
  <c r="O8" i="14" s="1"/>
  <c r="N10" i="14"/>
  <c r="O10" i="14" s="1"/>
  <c r="N302" i="4"/>
  <c r="O302" i="4" s="1"/>
  <c r="N279" i="4"/>
  <c r="O279" i="4" s="1"/>
  <c r="N100" i="4"/>
  <c r="O100" i="4" s="1"/>
  <c r="K64" i="4"/>
  <c r="N303" i="4"/>
  <c r="N56" i="13"/>
  <c r="O270" i="4"/>
  <c r="O271" i="4"/>
  <c r="K9" i="14"/>
  <c r="L9" i="14" s="1"/>
  <c r="K7" i="14"/>
  <c r="K269" i="4"/>
  <c r="K267" i="4"/>
  <c r="K58" i="4"/>
  <c r="L58" i="4" s="1"/>
  <c r="K315" i="4"/>
  <c r="L315" i="4" s="1"/>
  <c r="L241" i="13"/>
  <c r="M240" i="13"/>
  <c r="N240" i="13" s="1"/>
  <c r="M247" i="13"/>
  <c r="N247" i="13" s="1"/>
  <c r="L7" i="14" l="1"/>
  <c r="L267" i="4"/>
  <c r="N267" i="4" s="1"/>
  <c r="O267" i="4" s="1"/>
  <c r="L269" i="4"/>
  <c r="N269" i="4" s="1"/>
  <c r="O269" i="4" s="1"/>
  <c r="N9" i="14"/>
  <c r="O9" i="14" s="1"/>
  <c r="O303" i="4"/>
  <c r="L64" i="4"/>
  <c r="Q56" i="13"/>
  <c r="N58" i="13"/>
  <c r="M241" i="13"/>
  <c r="N241" i="13"/>
  <c r="Q240" i="13"/>
  <c r="Q241" i="13" s="1"/>
  <c r="N7" i="14" l="1"/>
  <c r="N64" i="4"/>
  <c r="R56" i="13"/>
  <c r="N58" i="4"/>
  <c r="N315" i="4"/>
  <c r="Q247" i="13"/>
  <c r="R240" i="13"/>
  <c r="R241" i="13" s="1"/>
  <c r="O64" i="4" l="1"/>
  <c r="O7" i="14"/>
  <c r="O58" i="4"/>
  <c r="O315" i="4"/>
  <c r="R247" i="13"/>
  <c r="K164" i="13" l="1"/>
  <c r="P164" i="13"/>
  <c r="H164" i="13"/>
  <c r="K155" i="13"/>
  <c r="P155" i="13"/>
  <c r="H155" i="13"/>
  <c r="K149" i="13"/>
  <c r="H149" i="13"/>
  <c r="K145" i="13"/>
  <c r="P145" i="13"/>
  <c r="H145" i="13"/>
  <c r="I345" i="4" l="1"/>
  <c r="M345" i="4"/>
  <c r="F345" i="4"/>
  <c r="I179" i="4"/>
  <c r="M179" i="4"/>
  <c r="F179" i="4"/>
  <c r="I172" i="4"/>
  <c r="M172" i="4"/>
  <c r="F172" i="4"/>
  <c r="I90" i="4"/>
  <c r="M90" i="4"/>
  <c r="F90" i="4"/>
  <c r="K169" i="13"/>
  <c r="P169" i="13"/>
  <c r="I168" i="13"/>
  <c r="J168" i="13"/>
  <c r="I33" i="13"/>
  <c r="J33" i="13"/>
  <c r="L33" i="13" l="1"/>
  <c r="M33" i="13" s="1"/>
  <c r="N33" i="13" s="1"/>
  <c r="L168" i="13"/>
  <c r="M168" i="13" s="1"/>
  <c r="N168" i="13" s="1"/>
  <c r="Q168" i="13" s="1"/>
  <c r="R168" i="13" s="1"/>
  <c r="G301" i="4"/>
  <c r="H301" i="4"/>
  <c r="G280" i="4"/>
  <c r="H280" i="4"/>
  <c r="H265" i="4"/>
  <c r="G265" i="4"/>
  <c r="G266" i="4"/>
  <c r="H266" i="4"/>
  <c r="I193" i="4"/>
  <c r="M193" i="4"/>
  <c r="F193" i="4"/>
  <c r="H191" i="4"/>
  <c r="G191" i="4"/>
  <c r="F152" i="4"/>
  <c r="Q33" i="13" l="1"/>
  <c r="R33" i="13" s="1"/>
  <c r="J280" i="4"/>
  <c r="K280" i="4" s="1"/>
  <c r="L280" i="4" s="1"/>
  <c r="N280" i="4" s="1"/>
  <c r="J301" i="4"/>
  <c r="J266" i="4"/>
  <c r="K266" i="4" s="1"/>
  <c r="L266" i="4" s="1"/>
  <c r="J191" i="4"/>
  <c r="K191" i="4" s="1"/>
  <c r="L191" i="4" s="1"/>
  <c r="N266" i="4" l="1"/>
  <c r="O266" i="4" s="1"/>
  <c r="O280" i="4"/>
  <c r="N191" i="4"/>
  <c r="O191" i="4" s="1"/>
  <c r="K301" i="4"/>
  <c r="L301" i="4" l="1"/>
  <c r="N301" i="4" s="1"/>
  <c r="O301" i="4" s="1"/>
  <c r="H37" i="16" l="1"/>
  <c r="I37" i="16"/>
  <c r="H58" i="16"/>
  <c r="I58" i="16"/>
  <c r="I122" i="16"/>
  <c r="H122" i="16"/>
  <c r="I118" i="16"/>
  <c r="H118" i="16"/>
  <c r="I97" i="16"/>
  <c r="H97" i="16"/>
  <c r="I83" i="16"/>
  <c r="H83" i="16"/>
  <c r="I49" i="16"/>
  <c r="H49" i="16"/>
  <c r="I153" i="13"/>
  <c r="J153" i="13"/>
  <c r="K49" i="16" l="1"/>
  <c r="K50" i="16" s="1"/>
  <c r="L153" i="13"/>
  <c r="M153" i="13" s="1"/>
  <c r="N153" i="13" l="1"/>
  <c r="Q153" i="13" s="1"/>
  <c r="R153" i="13" s="1"/>
  <c r="G94" i="16" l="1"/>
  <c r="J94" i="16" l="1"/>
  <c r="H93" i="16"/>
  <c r="H94" i="16" s="1"/>
  <c r="I93" i="16"/>
  <c r="I94" i="16" s="1"/>
  <c r="I78" i="16"/>
  <c r="H78" i="16"/>
  <c r="P258" i="13"/>
  <c r="K258" i="13"/>
  <c r="H258" i="13"/>
  <c r="J257" i="13"/>
  <c r="J258" i="13" s="1"/>
  <c r="I257" i="13"/>
  <c r="I258" i="13" s="1"/>
  <c r="J252" i="13"/>
  <c r="I252" i="13"/>
  <c r="I254" i="13" s="1"/>
  <c r="I148" i="13"/>
  <c r="J148" i="13"/>
  <c r="P129" i="13"/>
  <c r="L85" i="13"/>
  <c r="L86" i="13"/>
  <c r="M86" i="13" s="1"/>
  <c r="N86" i="13" s="1"/>
  <c r="I91" i="13"/>
  <c r="J91" i="13"/>
  <c r="I161" i="4"/>
  <c r="M161" i="4"/>
  <c r="F161" i="4"/>
  <c r="H160" i="4"/>
  <c r="G160" i="4"/>
  <c r="J159" i="13"/>
  <c r="H129" i="13"/>
  <c r="J125" i="13"/>
  <c r="J126" i="13"/>
  <c r="I126" i="13"/>
  <c r="Q86" i="13" l="1"/>
  <c r="R86" i="13" s="1"/>
  <c r="J160" i="4"/>
  <c r="K160" i="4" s="1"/>
  <c r="L160" i="4" s="1"/>
  <c r="K94" i="16"/>
  <c r="L252" i="13"/>
  <c r="L257" i="13"/>
  <c r="L258" i="13" s="1"/>
  <c r="L148" i="13"/>
  <c r="M148" i="13" s="1"/>
  <c r="N148" i="13" s="1"/>
  <c r="M85" i="13"/>
  <c r="N85" i="13" s="1"/>
  <c r="L126" i="13"/>
  <c r="M126" i="13" s="1"/>
  <c r="N126" i="13" s="1"/>
  <c r="L91" i="13"/>
  <c r="M91" i="13" s="1"/>
  <c r="N91" i="13" s="1"/>
  <c r="M252" i="13" l="1"/>
  <c r="N252" i="13" s="1"/>
  <c r="N160" i="4"/>
  <c r="O160" i="4" s="1"/>
  <c r="Q85" i="13"/>
  <c r="R85" i="13" s="1"/>
  <c r="L93" i="16"/>
  <c r="L94" i="16" s="1"/>
  <c r="M257" i="13"/>
  <c r="Q126" i="13"/>
  <c r="R126" i="13" s="1"/>
  <c r="M197" i="4"/>
  <c r="I197" i="4"/>
  <c r="F197" i="4"/>
  <c r="H196" i="4"/>
  <c r="H197" i="4" s="1"/>
  <c r="G196" i="4"/>
  <c r="G197" i="4" s="1"/>
  <c r="M258" i="13" l="1"/>
  <c r="N257" i="13"/>
  <c r="N258" i="13" s="1"/>
  <c r="Q148" i="13"/>
  <c r="J196" i="4"/>
  <c r="Q257" i="13" l="1"/>
  <c r="Q258" i="13" s="1"/>
  <c r="R148" i="13"/>
  <c r="J197" i="4"/>
  <c r="K196" i="4"/>
  <c r="L196" i="4" s="1"/>
  <c r="R257" i="13" l="1"/>
  <c r="R258" i="13" s="1"/>
  <c r="K197" i="4"/>
  <c r="L197" i="4" l="1"/>
  <c r="N196" i="4"/>
  <c r="N197" i="4" s="1"/>
  <c r="O196" i="4" l="1"/>
  <c r="O197" i="4" s="1"/>
  <c r="J248" i="13" l="1"/>
  <c r="J249" i="13" s="1"/>
  <c r="I248" i="13"/>
  <c r="I249" i="13" s="1"/>
  <c r="L248" i="13" l="1"/>
  <c r="L249" i="13" s="1"/>
  <c r="I17" i="13"/>
  <c r="J17" i="13"/>
  <c r="I18" i="13"/>
  <c r="J18" i="13"/>
  <c r="K11" i="13"/>
  <c r="P11" i="13"/>
  <c r="H11" i="13"/>
  <c r="A14" i="13"/>
  <c r="K20" i="13"/>
  <c r="I157" i="4"/>
  <c r="M157" i="4"/>
  <c r="F157" i="4"/>
  <c r="J223" i="13"/>
  <c r="I223" i="13"/>
  <c r="J113" i="13"/>
  <c r="I113" i="13"/>
  <c r="J78" i="13"/>
  <c r="I78" i="13"/>
  <c r="G299" i="4"/>
  <c r="H299" i="4"/>
  <c r="G298" i="4"/>
  <c r="H298" i="4"/>
  <c r="G278" i="4"/>
  <c r="H278" i="4"/>
  <c r="G264" i="4"/>
  <c r="H264" i="4"/>
  <c r="I25" i="4"/>
  <c r="J114" i="13" l="1"/>
  <c r="I114" i="13"/>
  <c r="M248" i="13"/>
  <c r="N248" i="13" s="1"/>
  <c r="L17" i="13"/>
  <c r="M17" i="13" s="1"/>
  <c r="N17" i="13" s="1"/>
  <c r="L223" i="13"/>
  <c r="M223" i="13" s="1"/>
  <c r="N223" i="13" s="1"/>
  <c r="L18" i="13"/>
  <c r="M18" i="13" s="1"/>
  <c r="L113" i="13"/>
  <c r="L114" i="13" s="1"/>
  <c r="L78" i="13"/>
  <c r="M78" i="13" s="1"/>
  <c r="J299" i="4"/>
  <c r="K299" i="4" s="1"/>
  <c r="L299" i="4" s="1"/>
  <c r="J298" i="4"/>
  <c r="K298" i="4" s="1"/>
  <c r="L298" i="4" s="1"/>
  <c r="J278" i="4"/>
  <c r="K278" i="4" s="1"/>
  <c r="L278" i="4" s="1"/>
  <c r="J265" i="4"/>
  <c r="J264" i="4"/>
  <c r="K264" i="4" s="1"/>
  <c r="L264" i="4" l="1"/>
  <c r="N264" i="4" s="1"/>
  <c r="N18" i="13"/>
  <c r="Q18" i="13" s="1"/>
  <c r="R18" i="13" s="1"/>
  <c r="Q223" i="13"/>
  <c r="R223" i="13" s="1"/>
  <c r="Q17" i="13"/>
  <c r="R17" i="13" s="1"/>
  <c r="M249" i="13"/>
  <c r="K265" i="4"/>
  <c r="M113" i="13"/>
  <c r="K26" i="13"/>
  <c r="H204" i="4"/>
  <c r="G204" i="4"/>
  <c r="L265" i="4" l="1"/>
  <c r="N265" i="4" s="1"/>
  <c r="N113" i="13"/>
  <c r="N114" i="13" s="1"/>
  <c r="M114" i="13"/>
  <c r="Q248" i="13"/>
  <c r="Q249" i="13" s="1"/>
  <c r="N249" i="13"/>
  <c r="N299" i="4"/>
  <c r="O299" i="4" s="1"/>
  <c r="N298" i="4"/>
  <c r="O298" i="4" s="1"/>
  <c r="J204" i="4"/>
  <c r="O264" i="4"/>
  <c r="K204" i="4" l="1"/>
  <c r="L204" i="4" s="1"/>
  <c r="R248" i="13"/>
  <c r="R249" i="13" s="1"/>
  <c r="Q113" i="13"/>
  <c r="N278" i="4"/>
  <c r="N204" i="4" l="1"/>
  <c r="Q114" i="13"/>
  <c r="O265" i="4"/>
  <c r="R113" i="13"/>
  <c r="O278" i="4"/>
  <c r="R114" i="13" l="1"/>
  <c r="O204" i="4"/>
  <c r="H62" i="13" l="1"/>
  <c r="F327" i="4"/>
  <c r="G59" i="16" l="1"/>
  <c r="G46" i="16"/>
  <c r="K122" i="13" l="1"/>
  <c r="P122" i="13"/>
  <c r="H122" i="13"/>
  <c r="I52" i="13"/>
  <c r="J52" i="13"/>
  <c r="I105" i="13"/>
  <c r="J105" i="13"/>
  <c r="I327" i="4"/>
  <c r="M327" i="4"/>
  <c r="G326" i="4"/>
  <c r="H326" i="4"/>
  <c r="G244" i="4"/>
  <c r="H244" i="4"/>
  <c r="H137" i="4"/>
  <c r="G137" i="4"/>
  <c r="J326" i="4" l="1"/>
  <c r="K326" i="4" s="1"/>
  <c r="L326" i="4" s="1"/>
  <c r="L105" i="13"/>
  <c r="M105" i="13" s="1"/>
  <c r="N105" i="13" s="1"/>
  <c r="L52" i="13"/>
  <c r="M52" i="13" s="1"/>
  <c r="J244" i="4"/>
  <c r="J137" i="4"/>
  <c r="K137" i="4" s="1"/>
  <c r="L137" i="4" s="1"/>
  <c r="N326" i="4" l="1"/>
  <c r="O326" i="4" s="1"/>
  <c r="Q105" i="13"/>
  <c r="R105" i="13" s="1"/>
  <c r="N52" i="13"/>
  <c r="Q52" i="13" s="1"/>
  <c r="R52" i="13" s="1"/>
  <c r="N137" i="4"/>
  <c r="O137" i="4" s="1"/>
  <c r="K244" i="4"/>
  <c r="L244" i="4" s="1"/>
  <c r="N244" i="4" l="1"/>
  <c r="O244" i="4" s="1"/>
  <c r="K98" i="16"/>
  <c r="K88" i="16"/>
  <c r="L114" i="16" l="1"/>
  <c r="K262" i="13"/>
  <c r="H123" i="16" l="1"/>
  <c r="I123" i="16"/>
  <c r="J123" i="16"/>
  <c r="G123" i="16"/>
  <c r="J59" i="16"/>
  <c r="H46" i="16"/>
  <c r="I46" i="16"/>
  <c r="J46" i="16"/>
  <c r="K37" i="16"/>
  <c r="L37" i="16" l="1"/>
  <c r="H271" i="13"/>
  <c r="K271" i="13"/>
  <c r="P271" i="13"/>
  <c r="J154" i="13"/>
  <c r="J155" i="13" s="1"/>
  <c r="I154" i="13"/>
  <c r="J31" i="13"/>
  <c r="I31" i="13"/>
  <c r="L31" i="13" l="1"/>
  <c r="M31" i="13" s="1"/>
  <c r="N31" i="13" s="1"/>
  <c r="L154" i="13"/>
  <c r="M154" i="13" s="1"/>
  <c r="N154" i="13" s="1"/>
  <c r="H218" i="13"/>
  <c r="Q154" i="13" l="1"/>
  <c r="R154" i="13" s="1"/>
  <c r="Q31" i="13"/>
  <c r="R31" i="13" s="1"/>
  <c r="K45" i="16"/>
  <c r="K46" i="16" s="1"/>
  <c r="F221" i="4" l="1"/>
  <c r="I221" i="4"/>
  <c r="M221" i="4"/>
  <c r="H220" i="4"/>
  <c r="G220" i="4"/>
  <c r="J220" i="4" l="1"/>
  <c r="K220" i="4" l="1"/>
  <c r="L220" i="4" s="1"/>
  <c r="K123" i="16"/>
  <c r="G115" i="16"/>
  <c r="N220" i="4" l="1"/>
  <c r="O220" i="4" s="1"/>
  <c r="L122" i="16"/>
  <c r="L123" i="16" s="1"/>
  <c r="I227" i="13"/>
  <c r="J227" i="13"/>
  <c r="J217" i="13"/>
  <c r="I217" i="13"/>
  <c r="L227" i="13" l="1"/>
  <c r="L217" i="13"/>
  <c r="M227" i="13" l="1"/>
  <c r="M217" i="13"/>
  <c r="I240" i="4"/>
  <c r="M240" i="4"/>
  <c r="F240" i="4"/>
  <c r="I235" i="4"/>
  <c r="M235" i="4"/>
  <c r="F235" i="4"/>
  <c r="I230" i="4"/>
  <c r="M230" i="4"/>
  <c r="F230" i="4"/>
  <c r="I226" i="4"/>
  <c r="F226" i="4"/>
  <c r="I211" i="4"/>
  <c r="M211" i="4"/>
  <c r="F211" i="4"/>
  <c r="I201" i="4"/>
  <c r="M201" i="4"/>
  <c r="F201" i="4"/>
  <c r="I188" i="4"/>
  <c r="M188" i="4"/>
  <c r="F188" i="4"/>
  <c r="I183" i="4"/>
  <c r="M183" i="4"/>
  <c r="F183" i="4"/>
  <c r="I164" i="4"/>
  <c r="M164" i="4"/>
  <c r="F164" i="4"/>
  <c r="I152" i="4"/>
  <c r="M152" i="4"/>
  <c r="F144" i="4"/>
  <c r="I144" i="4"/>
  <c r="M144" i="4"/>
  <c r="I107" i="4"/>
  <c r="M107" i="4"/>
  <c r="F107" i="4"/>
  <c r="I94" i="4"/>
  <c r="M94" i="4"/>
  <c r="F94" i="4"/>
  <c r="I71" i="4"/>
  <c r="M71" i="4"/>
  <c r="F71" i="4"/>
  <c r="I55" i="4"/>
  <c r="M55" i="4"/>
  <c r="F55" i="4"/>
  <c r="G51" i="4"/>
  <c r="H51" i="4"/>
  <c r="I51" i="4"/>
  <c r="M51" i="4"/>
  <c r="F51" i="4"/>
  <c r="I29" i="4"/>
  <c r="M29" i="4"/>
  <c r="F29" i="4"/>
  <c r="M25" i="4"/>
  <c r="K218" i="13"/>
  <c r="P218" i="13"/>
  <c r="I215" i="4"/>
  <c r="M215" i="4"/>
  <c r="F215" i="4"/>
  <c r="H151" i="4"/>
  <c r="I120" i="4"/>
  <c r="M120" i="4"/>
  <c r="N217" i="13" l="1"/>
  <c r="Q217" i="13" s="1"/>
  <c r="R217" i="13" s="1"/>
  <c r="N227" i="13"/>
  <c r="A15" i="13"/>
  <c r="A16" i="13" s="1"/>
  <c r="A17" i="13" s="1"/>
  <c r="A18" i="13" s="1"/>
  <c r="A19" i="13" s="1"/>
  <c r="A23" i="13" s="1"/>
  <c r="I105" i="16"/>
  <c r="H105" i="16"/>
  <c r="I101" i="16"/>
  <c r="H101" i="16"/>
  <c r="I82" i="16"/>
  <c r="H82" i="16"/>
  <c r="I77" i="16"/>
  <c r="H77" i="16"/>
  <c r="I61" i="16"/>
  <c r="H61" i="16"/>
  <c r="I59" i="16"/>
  <c r="I53" i="16"/>
  <c r="H53" i="16"/>
  <c r="H59" i="16"/>
  <c r="I41" i="16"/>
  <c r="I42" i="16" s="1"/>
  <c r="H41" i="16"/>
  <c r="H42" i="16" s="1"/>
  <c r="I36" i="16"/>
  <c r="I38" i="16" s="1"/>
  <c r="H36" i="16"/>
  <c r="H38" i="16" s="1"/>
  <c r="I12" i="16"/>
  <c r="I13" i="16" s="1"/>
  <c r="H12" i="16"/>
  <c r="H13" i="16" s="1"/>
  <c r="K62" i="13"/>
  <c r="P62" i="13"/>
  <c r="I65" i="13"/>
  <c r="J65" i="13"/>
  <c r="I14" i="13"/>
  <c r="I15" i="13"/>
  <c r="Q227" i="13" l="1"/>
  <c r="K105" i="16"/>
  <c r="K106" i="16" s="1"/>
  <c r="K12" i="16"/>
  <c r="K13" i="16" s="1"/>
  <c r="L65" i="13"/>
  <c r="M65" i="13" s="1"/>
  <c r="N65" i="13" s="1"/>
  <c r="Q65" i="13" s="1"/>
  <c r="R227" i="13" l="1"/>
  <c r="R65" i="13"/>
  <c r="I321" i="4" l="1"/>
  <c r="M321" i="4"/>
  <c r="F321" i="4"/>
  <c r="I312" i="4"/>
  <c r="M312" i="4"/>
  <c r="F312" i="4"/>
  <c r="F347" i="4" s="1"/>
  <c r="G300" i="4"/>
  <c r="H300" i="4"/>
  <c r="H267" i="13"/>
  <c r="K129" i="13"/>
  <c r="K267" i="13"/>
  <c r="J266" i="13"/>
  <c r="I266" i="13"/>
  <c r="I128" i="13"/>
  <c r="J128" i="13"/>
  <c r="I347" i="4" l="1"/>
  <c r="L128" i="13"/>
  <c r="J300" i="4"/>
  <c r="K300" i="4" s="1"/>
  <c r="L300" i="4" s="1"/>
  <c r="L266" i="13"/>
  <c r="J94" i="13"/>
  <c r="J96" i="13" s="1"/>
  <c r="I94" i="13"/>
  <c r="I96" i="13" s="1"/>
  <c r="H106" i="16"/>
  <c r="I106" i="16"/>
  <c r="J106" i="16"/>
  <c r="G106" i="16"/>
  <c r="M266" i="13" l="1"/>
  <c r="M128" i="13"/>
  <c r="N128" i="13" s="1"/>
  <c r="L94" i="13"/>
  <c r="L96" i="13" s="1"/>
  <c r="N266" i="13" l="1"/>
  <c r="M94" i="13"/>
  <c r="M96" i="13" s="1"/>
  <c r="Q266" i="13" l="1"/>
  <c r="R266" i="13" s="1"/>
  <c r="O267" i="13"/>
  <c r="O273" i="13" s="1"/>
  <c r="Q128" i="13"/>
  <c r="R128" i="13" l="1"/>
  <c r="Q94" i="13"/>
  <c r="Q96" i="13" s="1"/>
  <c r="R94" i="13" l="1"/>
  <c r="R96" i="13" s="1"/>
  <c r="H98" i="16" l="1"/>
  <c r="I98" i="16"/>
  <c r="J98" i="16"/>
  <c r="G98" i="16"/>
  <c r="L97" i="16"/>
  <c r="L98" i="16" s="1"/>
  <c r="P262" i="13"/>
  <c r="H262" i="13"/>
  <c r="K237" i="13"/>
  <c r="P237" i="13"/>
  <c r="H237" i="13"/>
  <c r="K233" i="13"/>
  <c r="P233" i="13"/>
  <c r="H233" i="13"/>
  <c r="K197" i="13"/>
  <c r="P197" i="13"/>
  <c r="H197" i="13"/>
  <c r="K186" i="13"/>
  <c r="P186" i="13"/>
  <c r="H186" i="13"/>
  <c r="K100" i="13"/>
  <c r="H100" i="13"/>
  <c r="J167" i="13"/>
  <c r="J169" i="13" s="1"/>
  <c r="I167" i="13"/>
  <c r="I169" i="13" s="1"/>
  <c r="P25" i="13"/>
  <c r="H117" i="4"/>
  <c r="G117" i="4"/>
  <c r="J41" i="13"/>
  <c r="I41" i="13"/>
  <c r="P26" i="13" l="1"/>
  <c r="J117" i="4"/>
  <c r="K117" i="4" s="1"/>
  <c r="L117" i="4" s="1"/>
  <c r="L167" i="13"/>
  <c r="L169" i="13" s="1"/>
  <c r="L41" i="13"/>
  <c r="M41" i="13" s="1"/>
  <c r="N41" i="13" s="1"/>
  <c r="N117" i="4" l="1"/>
  <c r="O117" i="4" s="1"/>
  <c r="Q41" i="13"/>
  <c r="M167" i="13"/>
  <c r="M169" i="13" l="1"/>
  <c r="N167" i="13"/>
  <c r="N169" i="13" s="1"/>
  <c r="R41" i="13"/>
  <c r="I207" i="13"/>
  <c r="J207" i="13"/>
  <c r="I205" i="13"/>
  <c r="J205" i="13"/>
  <c r="I144" i="13"/>
  <c r="J144" i="13"/>
  <c r="I139" i="13"/>
  <c r="J139" i="13"/>
  <c r="I40" i="13"/>
  <c r="J40" i="13"/>
  <c r="G286" i="4"/>
  <c r="H286" i="4"/>
  <c r="I20" i="16"/>
  <c r="I21" i="16" s="1"/>
  <c r="H20" i="16"/>
  <c r="J21" i="16"/>
  <c r="G21" i="16"/>
  <c r="L20" i="16" l="1"/>
  <c r="H21" i="16"/>
  <c r="Q167" i="13"/>
  <c r="Q169" i="13" s="1"/>
  <c r="L144" i="13"/>
  <c r="L207" i="13"/>
  <c r="M207" i="13" s="1"/>
  <c r="N207" i="13" s="1"/>
  <c r="L205" i="13"/>
  <c r="L139" i="13"/>
  <c r="M139" i="13" s="1"/>
  <c r="L40" i="13"/>
  <c r="M40" i="13" s="1"/>
  <c r="N40" i="13" s="1"/>
  <c r="J286" i="4"/>
  <c r="K21" i="16" l="1"/>
  <c r="N139" i="13"/>
  <c r="Q139" i="13" s="1"/>
  <c r="K286" i="4"/>
  <c r="R167" i="13"/>
  <c r="R169" i="13" s="1"/>
  <c r="Q40" i="13"/>
  <c r="R40" i="13" s="1"/>
  <c r="Q207" i="13"/>
  <c r="R207" i="13" s="1"/>
  <c r="M144" i="13"/>
  <c r="N144" i="13" s="1"/>
  <c r="M205" i="13"/>
  <c r="L21" i="16"/>
  <c r="L286" i="4" l="1"/>
  <c r="N286" i="4" s="1"/>
  <c r="O286" i="4" s="1"/>
  <c r="N205" i="13"/>
  <c r="R139" i="13"/>
  <c r="J61" i="13"/>
  <c r="J62" i="13" s="1"/>
  <c r="I61" i="13"/>
  <c r="I62" i="13" s="1"/>
  <c r="Q144" i="13" l="1"/>
  <c r="Q205" i="13"/>
  <c r="L61" i="13"/>
  <c r="L62" i="13" s="1"/>
  <c r="R144" i="13" l="1"/>
  <c r="R205" i="13"/>
  <c r="M61" i="13"/>
  <c r="M62" i="13" s="1"/>
  <c r="N61" i="13" l="1"/>
  <c r="N62" i="13" s="1"/>
  <c r="Q61" i="13" l="1"/>
  <c r="Q62" i="13" s="1"/>
  <c r="R61" i="13" l="1"/>
  <c r="R62" i="13" s="1"/>
  <c r="G105" i="4"/>
  <c r="J105" i="4" l="1"/>
  <c r="K105" i="4" l="1"/>
  <c r="L105" i="4" s="1"/>
  <c r="N105" i="4" l="1"/>
  <c r="O105" i="4" l="1"/>
  <c r="J50" i="16"/>
  <c r="I50" i="16"/>
  <c r="H50" i="16"/>
  <c r="G50" i="16"/>
  <c r="J265" i="13"/>
  <c r="J267" i="13" s="1"/>
  <c r="I265" i="13"/>
  <c r="I267" i="13" s="1"/>
  <c r="J243" i="13"/>
  <c r="I243" i="13"/>
  <c r="I180" i="13"/>
  <c r="J180" i="13"/>
  <c r="J162" i="13"/>
  <c r="I162" i="13"/>
  <c r="J25" i="13"/>
  <c r="I25" i="13"/>
  <c r="L49" i="16" l="1"/>
  <c r="L50" i="16" s="1"/>
  <c r="L265" i="13"/>
  <c r="L267" i="13" s="1"/>
  <c r="L243" i="13"/>
  <c r="L180" i="13"/>
  <c r="M180" i="13" s="1"/>
  <c r="N180" i="13" s="1"/>
  <c r="L162" i="13"/>
  <c r="L25" i="13"/>
  <c r="H24" i="4"/>
  <c r="G24" i="4"/>
  <c r="G10" i="4"/>
  <c r="H10" i="4"/>
  <c r="M162" i="13" l="1"/>
  <c r="N162" i="13" s="1"/>
  <c r="M265" i="13"/>
  <c r="M243" i="13"/>
  <c r="Q180" i="13"/>
  <c r="R180" i="13" s="1"/>
  <c r="M25" i="13"/>
  <c r="N25" i="13" s="1"/>
  <c r="J24" i="4"/>
  <c r="K24" i="4" s="1"/>
  <c r="L24" i="4" s="1"/>
  <c r="J10" i="4"/>
  <c r="N243" i="13" l="1"/>
  <c r="K10" i="4"/>
  <c r="M267" i="13"/>
  <c r="N265" i="13"/>
  <c r="N267" i="13" s="1"/>
  <c r="L10" i="4" l="1"/>
  <c r="N10" i="4" s="1"/>
  <c r="O10" i="4" s="1"/>
  <c r="Q243" i="13"/>
  <c r="R243" i="13" s="1"/>
  <c r="Q162" i="13"/>
  <c r="Q265" i="13"/>
  <c r="Q267" i="13" s="1"/>
  <c r="Q25" i="13"/>
  <c r="R25" i="13" l="1"/>
  <c r="R162" i="13"/>
  <c r="N24" i="4"/>
  <c r="R265" i="13"/>
  <c r="R267" i="13" s="1"/>
  <c r="O24" i="4" l="1"/>
  <c r="K62" i="16" l="1"/>
  <c r="K8" i="16"/>
  <c r="K9" i="16" s="1"/>
  <c r="J232" i="13"/>
  <c r="J233" i="13" s="1"/>
  <c r="J185" i="13"/>
  <c r="J186" i="13" s="1"/>
  <c r="J211" i="13"/>
  <c r="I211" i="13"/>
  <c r="J163" i="13"/>
  <c r="J164" i="13" s="1"/>
  <c r="I163" i="13"/>
  <c r="I164" i="13" s="1"/>
  <c r="J121" i="13"/>
  <c r="J122" i="13" s="1"/>
  <c r="I121" i="13"/>
  <c r="I122" i="13" s="1"/>
  <c r="J23" i="13"/>
  <c r="J14" i="13"/>
  <c r="H28" i="4"/>
  <c r="H29" i="4" s="1"/>
  <c r="G344" i="4"/>
  <c r="H344" i="4"/>
  <c r="G261" i="4"/>
  <c r="H261" i="4"/>
  <c r="G262" i="4"/>
  <c r="H262" i="4"/>
  <c r="G263" i="4"/>
  <c r="H263" i="4"/>
  <c r="G260" i="4"/>
  <c r="H260" i="4"/>
  <c r="J262" i="4" l="1"/>
  <c r="J344" i="4"/>
  <c r="L211" i="13"/>
  <c r="L163" i="13"/>
  <c r="L164" i="13" s="1"/>
  <c r="L121" i="13"/>
  <c r="L122" i="13" s="1"/>
  <c r="J261" i="4"/>
  <c r="J263" i="4"/>
  <c r="J260" i="4"/>
  <c r="K260" i="4" s="1"/>
  <c r="H93" i="4"/>
  <c r="G13" i="4"/>
  <c r="H13" i="4"/>
  <c r="L260" i="4" l="1"/>
  <c r="N260" i="4" s="1"/>
  <c r="K263" i="4"/>
  <c r="L263" i="4" s="1"/>
  <c r="K261" i="4"/>
  <c r="L261" i="4" s="1"/>
  <c r="K344" i="4"/>
  <c r="L344" i="4" s="1"/>
  <c r="K262" i="4"/>
  <c r="L262" i="4" s="1"/>
  <c r="M121" i="13"/>
  <c r="M211" i="13"/>
  <c r="M163" i="13"/>
  <c r="J13" i="4"/>
  <c r="K13" i="4" s="1"/>
  <c r="N211" i="13" l="1"/>
  <c r="L13" i="4"/>
  <c r="N13" i="4" s="1"/>
  <c r="O13" i="4" s="1"/>
  <c r="N262" i="4"/>
  <c r="O262" i="4" s="1"/>
  <c r="N261" i="4"/>
  <c r="O261" i="4" s="1"/>
  <c r="N263" i="4"/>
  <c r="O263" i="4" s="1"/>
  <c r="M164" i="13"/>
  <c r="N163" i="13"/>
  <c r="N164" i="13" s="1"/>
  <c r="M122" i="13"/>
  <c r="N121" i="13"/>
  <c r="N122" i="13" s="1"/>
  <c r="N344" i="4"/>
  <c r="O344" i="4" s="1"/>
  <c r="Q252" i="13"/>
  <c r="O260" i="4"/>
  <c r="R252" i="13" l="1"/>
  <c r="Q121" i="13"/>
  <c r="Q122" i="13" s="1"/>
  <c r="Q211" i="13"/>
  <c r="Q163" i="13"/>
  <c r="Q164" i="13" s="1"/>
  <c r="R121" i="13" l="1"/>
  <c r="R122" i="13" s="1"/>
  <c r="R211" i="13"/>
  <c r="R163" i="13"/>
  <c r="R164" i="13" s="1"/>
  <c r="K101" i="16" l="1"/>
  <c r="K102" i="16" s="1"/>
  <c r="K17" i="16"/>
  <c r="P149" i="13"/>
  <c r="L14" i="13"/>
  <c r="G341" i="4"/>
  <c r="H341" i="4"/>
  <c r="J50" i="4"/>
  <c r="J89" i="4"/>
  <c r="K89" i="4" s="1"/>
  <c r="L89" i="4" s="1"/>
  <c r="J93" i="4"/>
  <c r="J119" i="4"/>
  <c r="K119" i="4" s="1"/>
  <c r="L119" i="4" s="1"/>
  <c r="J135" i="4"/>
  <c r="J142" i="4"/>
  <c r="N1000187" i="4"/>
  <c r="J51" i="4" l="1"/>
  <c r="K50" i="4"/>
  <c r="K51" i="4" s="1"/>
  <c r="N119" i="4"/>
  <c r="O119" i="4" s="1"/>
  <c r="M14" i="13"/>
  <c r="N14" i="13" s="1"/>
  <c r="K142" i="4"/>
  <c r="L142" i="4" s="1"/>
  <c r="K135" i="4"/>
  <c r="L135" i="4" s="1"/>
  <c r="K93" i="4"/>
  <c r="L93" i="4" s="1"/>
  <c r="N89" i="4"/>
  <c r="J341" i="4"/>
  <c r="K341" i="4" s="1"/>
  <c r="L341" i="4" s="1"/>
  <c r="N135" i="4" l="1"/>
  <c r="N341" i="4"/>
  <c r="O341" i="4" s="1"/>
  <c r="L50" i="4"/>
  <c r="L51" i="4" s="1"/>
  <c r="N142" i="4" l="1"/>
  <c r="O142" i="4" s="1"/>
  <c r="Q14" i="13"/>
  <c r="N93" i="4"/>
  <c r="N94" i="4" s="1"/>
  <c r="N50" i="4"/>
  <c r="N51" i="4" s="1"/>
  <c r="I232" i="13" l="1"/>
  <c r="I233" i="13" s="1"/>
  <c r="L232" i="13" l="1"/>
  <c r="L233" i="13" s="1"/>
  <c r="H239" i="4"/>
  <c r="M232" i="13" l="1"/>
  <c r="M233" i="13" l="1"/>
  <c r="N232" i="13"/>
  <c r="N233" i="13" s="1"/>
  <c r="R14" i="13"/>
  <c r="Q232" i="13" l="1"/>
  <c r="Q233" i="13" s="1"/>
  <c r="H74" i="4"/>
  <c r="G74" i="4"/>
  <c r="R232" i="13" l="1"/>
  <c r="R233" i="13" s="1"/>
  <c r="J74" i="4"/>
  <c r="K74" i="4" l="1"/>
  <c r="P100" i="13"/>
  <c r="H106" i="4"/>
  <c r="G106" i="4"/>
  <c r="H143" i="4"/>
  <c r="H144" i="4" s="1"/>
  <c r="G143" i="4"/>
  <c r="G144" i="4" s="1"/>
  <c r="G243" i="4"/>
  <c r="H243" i="4"/>
  <c r="L74" i="4" l="1"/>
  <c r="N74" i="4" s="1"/>
  <c r="O74" i="4" s="1"/>
  <c r="J106" i="4"/>
  <c r="J143" i="4"/>
  <c r="J144" i="4" s="1"/>
  <c r="J243" i="4"/>
  <c r="K243" i="4" s="1"/>
  <c r="L243" i="4" l="1"/>
  <c r="N243" i="4" s="1"/>
  <c r="K106" i="4"/>
  <c r="L106" i="4" s="1"/>
  <c r="K143" i="4"/>
  <c r="L143" i="4" s="1"/>
  <c r="K144" i="4" l="1"/>
  <c r="L144" i="4"/>
  <c r="G79" i="16"/>
  <c r="G74" i="16"/>
  <c r="B8" i="16"/>
  <c r="H84" i="16"/>
  <c r="I84" i="16"/>
  <c r="H79" i="16"/>
  <c r="I79" i="16"/>
  <c r="I119" i="16"/>
  <c r="H119" i="16"/>
  <c r="G119" i="16"/>
  <c r="O243" i="4" l="1"/>
  <c r="N106" i="4"/>
  <c r="L58" i="16"/>
  <c r="N143" i="4"/>
  <c r="N144" i="4" s="1"/>
  <c r="O106" i="4" l="1"/>
  <c r="I23" i="13"/>
  <c r="J15" i="13"/>
  <c r="M226" i="4" l="1"/>
  <c r="M347" i="4" s="1"/>
  <c r="L23" i="13"/>
  <c r="L15" i="13"/>
  <c r="M15" i="13" l="1"/>
  <c r="N15" i="13" s="1"/>
  <c r="M23" i="13"/>
  <c r="G178" i="4"/>
  <c r="H178" i="4"/>
  <c r="N23" i="13" l="1"/>
  <c r="J178" i="4"/>
  <c r="K178" i="4" s="1"/>
  <c r="L178" i="4" s="1"/>
  <c r="Q15" i="13" l="1"/>
  <c r="Q23" i="13"/>
  <c r="N178" i="4"/>
  <c r="O178" i="4" s="1"/>
  <c r="J109" i="13"/>
  <c r="J111" i="13" s="1"/>
  <c r="I109" i="13"/>
  <c r="I111" i="13" s="1"/>
  <c r="I208" i="13"/>
  <c r="J208" i="13"/>
  <c r="I190" i="13"/>
  <c r="J190" i="13"/>
  <c r="I127" i="13"/>
  <c r="J127" i="13"/>
  <c r="L127" i="13" l="1"/>
  <c r="R15" i="13"/>
  <c r="L208" i="13"/>
  <c r="M208" i="13" s="1"/>
  <c r="N208" i="13" s="1"/>
  <c r="L190" i="13"/>
  <c r="M190" i="13" s="1"/>
  <c r="N190" i="13" s="1"/>
  <c r="L109" i="13"/>
  <c r="L111" i="13" s="1"/>
  <c r="M127" i="13" l="1"/>
  <c r="Q208" i="13"/>
  <c r="R208" i="13" s="1"/>
  <c r="Q190" i="13"/>
  <c r="M109" i="13"/>
  <c r="M111" i="13" s="1"/>
  <c r="N109" i="13" l="1"/>
  <c r="N111" i="13" s="1"/>
  <c r="N127" i="13"/>
  <c r="Q127" i="13" s="1"/>
  <c r="R127" i="13" s="1"/>
  <c r="R190" i="13"/>
  <c r="L105" i="16"/>
  <c r="L106" i="16" s="1"/>
  <c r="Q109" i="13" l="1"/>
  <c r="Q111" i="13" s="1"/>
  <c r="J16" i="13"/>
  <c r="J20" i="13" s="1"/>
  <c r="I16" i="13"/>
  <c r="I20" i="13" s="1"/>
  <c r="R109" i="13" l="1"/>
  <c r="R111" i="13" s="1"/>
  <c r="L16" i="13"/>
  <c r="L20" i="13" s="1"/>
  <c r="M16" i="13" l="1"/>
  <c r="N16" i="13" s="1"/>
  <c r="G296" i="4"/>
  <c r="H296" i="4"/>
  <c r="M20" i="13" l="1"/>
  <c r="N20" i="13"/>
  <c r="J296" i="4"/>
  <c r="K296" i="4" s="1"/>
  <c r="L296" i="4" s="1"/>
  <c r="H97" i="4"/>
  <c r="G97" i="4"/>
  <c r="H76" i="4"/>
  <c r="G76" i="4"/>
  <c r="G59" i="4"/>
  <c r="H59" i="4"/>
  <c r="O89" i="4"/>
  <c r="Q16" i="13" l="1"/>
  <c r="Q20" i="13" s="1"/>
  <c r="N296" i="4"/>
  <c r="O296" i="4" s="1"/>
  <c r="J76" i="4"/>
  <c r="J59" i="4"/>
  <c r="J97" i="4"/>
  <c r="K97" i="4" l="1"/>
  <c r="L97" i="4" s="1"/>
  <c r="K76" i="4"/>
  <c r="K59" i="4"/>
  <c r="L59" i="4" s="1"/>
  <c r="R16" i="13"/>
  <c r="R20" i="13" s="1"/>
  <c r="J84" i="13"/>
  <c r="J87" i="13" s="1"/>
  <c r="I84" i="13"/>
  <c r="I87" i="13" s="1"/>
  <c r="J29" i="13"/>
  <c r="I29" i="13"/>
  <c r="L76" i="4" l="1"/>
  <c r="N76" i="4" s="1"/>
  <c r="O76" i="4" s="1"/>
  <c r="N97" i="4"/>
  <c r="L29" i="13"/>
  <c r="L84" i="13"/>
  <c r="L87" i="13" s="1"/>
  <c r="K77" i="16"/>
  <c r="K79" i="16" s="1"/>
  <c r="J62" i="16"/>
  <c r="I62" i="16"/>
  <c r="H62" i="16"/>
  <c r="G62" i="16"/>
  <c r="K66" i="16"/>
  <c r="G66" i="16"/>
  <c r="H66" i="16"/>
  <c r="I66" i="16"/>
  <c r="J66" i="16"/>
  <c r="K69" i="16"/>
  <c r="K70" i="16" s="1"/>
  <c r="G70" i="16"/>
  <c r="H70" i="16"/>
  <c r="I70" i="16"/>
  <c r="J70" i="16"/>
  <c r="H170" i="4"/>
  <c r="G170" i="4"/>
  <c r="H167" i="4"/>
  <c r="G167" i="4"/>
  <c r="H125" i="4"/>
  <c r="G125" i="4"/>
  <c r="H23" i="4"/>
  <c r="G23" i="4"/>
  <c r="H38" i="4"/>
  <c r="G38" i="4"/>
  <c r="O97" i="4" l="1"/>
  <c r="N59" i="4"/>
  <c r="L65" i="16"/>
  <c r="L66" i="16" s="1"/>
  <c r="M84" i="13"/>
  <c r="M87" i="13" s="1"/>
  <c r="J38" i="4"/>
  <c r="J170" i="4"/>
  <c r="K170" i="4" s="1"/>
  <c r="L170" i="4" s="1"/>
  <c r="M29" i="13"/>
  <c r="J125" i="4"/>
  <c r="J23" i="4"/>
  <c r="J167" i="4"/>
  <c r="L69" i="16"/>
  <c r="L70" i="16" s="1"/>
  <c r="L77" i="16"/>
  <c r="L61" i="16"/>
  <c r="L62" i="16" s="1"/>
  <c r="N29" i="13" l="1"/>
  <c r="N84" i="13"/>
  <c r="N87" i="13" s="1"/>
  <c r="K23" i="4"/>
  <c r="L23" i="4" s="1"/>
  <c r="O59" i="4"/>
  <c r="K38" i="4"/>
  <c r="L38" i="4" s="1"/>
  <c r="K167" i="4"/>
  <c r="L167" i="4" s="1"/>
  <c r="K125" i="4"/>
  <c r="L125" i="4" s="1"/>
  <c r="N170" i="4"/>
  <c r="O170" i="4" s="1"/>
  <c r="N38" i="4" l="1"/>
  <c r="O38" i="4" s="1"/>
  <c r="N125" i="4"/>
  <c r="Q84" i="13"/>
  <c r="Q87" i="13" s="1"/>
  <c r="Q29" i="13"/>
  <c r="I159" i="13"/>
  <c r="N23" i="4" l="1"/>
  <c r="R29" i="13"/>
  <c r="L159" i="13"/>
  <c r="R84" i="13"/>
  <c r="R87" i="13" s="1"/>
  <c r="N167" i="4"/>
  <c r="O125" i="4"/>
  <c r="O23" i="4" l="1"/>
  <c r="O167" i="4"/>
  <c r="M159" i="13" l="1"/>
  <c r="N159" i="13"/>
  <c r="K74" i="16"/>
  <c r="Q159" i="13" l="1"/>
  <c r="J147" i="13" l="1"/>
  <c r="J149" i="13" s="1"/>
  <c r="I147" i="13"/>
  <c r="I149" i="13" s="1"/>
  <c r="J228" i="13"/>
  <c r="J229" i="13" s="1"/>
  <c r="I228" i="13"/>
  <c r="I229" i="13" s="1"/>
  <c r="L147" i="13" l="1"/>
  <c r="L149" i="13" s="1"/>
  <c r="L228" i="13"/>
  <c r="L229" i="13" s="1"/>
  <c r="K54" i="16"/>
  <c r="H74" i="16"/>
  <c r="I74" i="16"/>
  <c r="J74" i="16"/>
  <c r="K59" i="16"/>
  <c r="M147" i="13" l="1"/>
  <c r="M228" i="13"/>
  <c r="J138" i="13"/>
  <c r="J140" i="13" s="1"/>
  <c r="I138" i="13"/>
  <c r="I140" i="13" s="1"/>
  <c r="I143" i="13"/>
  <c r="I145" i="13" s="1"/>
  <c r="J143" i="13"/>
  <c r="I216" i="13"/>
  <c r="J216" i="13"/>
  <c r="G214" i="4"/>
  <c r="H214" i="4"/>
  <c r="L59" i="16" l="1"/>
  <c r="M149" i="13"/>
  <c r="N228" i="13"/>
  <c r="N229" i="13" s="1"/>
  <c r="M229" i="13"/>
  <c r="J145" i="13"/>
  <c r="L143" i="13"/>
  <c r="L145" i="13" s="1"/>
  <c r="L216" i="13"/>
  <c r="M216" i="13" s="1"/>
  <c r="N216" i="13" s="1"/>
  <c r="L138" i="13"/>
  <c r="L140" i="13" s="1"/>
  <c r="J214" i="4"/>
  <c r="K214" i="4" l="1"/>
  <c r="L214" i="4" s="1"/>
  <c r="Q228" i="13"/>
  <c r="Q229" i="13" s="1"/>
  <c r="Q216" i="13"/>
  <c r="M143" i="13"/>
  <c r="M138" i="13"/>
  <c r="J58" i="13"/>
  <c r="I58" i="13"/>
  <c r="J90" i="13"/>
  <c r="J92" i="13" s="1"/>
  <c r="I90" i="13"/>
  <c r="I92" i="13" s="1"/>
  <c r="J79" i="13"/>
  <c r="I79" i="13"/>
  <c r="J253" i="13"/>
  <c r="J254" i="13" s="1"/>
  <c r="H332" i="4"/>
  <c r="H333" i="4"/>
  <c r="H334" i="4"/>
  <c r="H335" i="4"/>
  <c r="H336" i="4"/>
  <c r="H337" i="4"/>
  <c r="H338" i="4"/>
  <c r="H342" i="4"/>
  <c r="H339" i="4"/>
  <c r="H343" i="4"/>
  <c r="H340" i="4"/>
  <c r="H331" i="4"/>
  <c r="G324" i="4"/>
  <c r="H324" i="4"/>
  <c r="J39" i="13"/>
  <c r="I39" i="13"/>
  <c r="J73" i="13"/>
  <c r="I73" i="13"/>
  <c r="I74" i="13" s="1"/>
  <c r="J11" i="13"/>
  <c r="G9" i="16"/>
  <c r="J9" i="16"/>
  <c r="I9" i="16"/>
  <c r="G248" i="4"/>
  <c r="H248" i="4"/>
  <c r="G249" i="4"/>
  <c r="H249" i="4"/>
  <c r="G250" i="4"/>
  <c r="H250" i="4"/>
  <c r="G251" i="4"/>
  <c r="H251" i="4"/>
  <c r="G252" i="4"/>
  <c r="H252" i="4"/>
  <c r="G255" i="4"/>
  <c r="H255" i="4"/>
  <c r="G256" i="4"/>
  <c r="H256" i="4"/>
  <c r="G257" i="4"/>
  <c r="H257" i="4"/>
  <c r="G254" i="4"/>
  <c r="H254" i="4"/>
  <c r="G253" i="4"/>
  <c r="H253" i="4"/>
  <c r="G258" i="4"/>
  <c r="H258" i="4"/>
  <c r="G259" i="4"/>
  <c r="H259" i="4"/>
  <c r="G242" i="4"/>
  <c r="H242" i="4"/>
  <c r="G246" i="4"/>
  <c r="H246" i="4"/>
  <c r="G247" i="4"/>
  <c r="H247" i="4"/>
  <c r="H107" i="4"/>
  <c r="H99" i="4"/>
  <c r="G98" i="4"/>
  <c r="G274" i="4" l="1"/>
  <c r="H274" i="4"/>
  <c r="M140" i="13"/>
  <c r="N138" i="13"/>
  <c r="N140" i="13" s="1"/>
  <c r="J74" i="13"/>
  <c r="L73" i="13"/>
  <c r="M145" i="13"/>
  <c r="N143" i="13"/>
  <c r="N145" i="13" s="1"/>
  <c r="H345" i="4"/>
  <c r="N214" i="4"/>
  <c r="N215" i="4" s="1"/>
  <c r="R216" i="13"/>
  <c r="J246" i="4"/>
  <c r="K246" i="4" s="1"/>
  <c r="L79" i="13"/>
  <c r="R228" i="13"/>
  <c r="R229" i="13" s="1"/>
  <c r="L90" i="13"/>
  <c r="L92" i="13" s="1"/>
  <c r="L58" i="13"/>
  <c r="L39" i="13"/>
  <c r="L253" i="13"/>
  <c r="L254" i="13" s="1"/>
  <c r="L10" i="13"/>
  <c r="J249" i="4"/>
  <c r="K249" i="4" s="1"/>
  <c r="J258" i="4"/>
  <c r="K258" i="4" s="1"/>
  <c r="J257" i="4"/>
  <c r="K257" i="4" s="1"/>
  <c r="J242" i="4"/>
  <c r="J259" i="4"/>
  <c r="K259" i="4" s="1"/>
  <c r="J252" i="4"/>
  <c r="K252" i="4" s="1"/>
  <c r="J253" i="4"/>
  <c r="K253" i="4" s="1"/>
  <c r="J256" i="4"/>
  <c r="K256" i="4" s="1"/>
  <c r="J251" i="4"/>
  <c r="K251" i="4" s="1"/>
  <c r="J248" i="4"/>
  <c r="K248" i="4" s="1"/>
  <c r="J254" i="4"/>
  <c r="K254" i="4" s="1"/>
  <c r="J255" i="4"/>
  <c r="K255" i="4" s="1"/>
  <c r="J250" i="4"/>
  <c r="K250" i="4" s="1"/>
  <c r="J247" i="4"/>
  <c r="K247" i="4" s="1"/>
  <c r="J324" i="4"/>
  <c r="K324" i="4" s="1"/>
  <c r="L324" i="4" s="1"/>
  <c r="R159" i="13"/>
  <c r="L87" i="16"/>
  <c r="L88" i="16" s="1"/>
  <c r="L12" i="16"/>
  <c r="L13" i="16" s="1"/>
  <c r="L8" i="16"/>
  <c r="L9" i="16" s="1"/>
  <c r="H9" i="16"/>
  <c r="G8" i="4"/>
  <c r="G9" i="4"/>
  <c r="H9" i="4"/>
  <c r="H11" i="4"/>
  <c r="G11" i="4"/>
  <c r="G12" i="4"/>
  <c r="H12" i="4"/>
  <c r="J274" i="4" l="1"/>
  <c r="L259" i="4"/>
  <c r="N259" i="4" s="1"/>
  <c r="L252" i="4"/>
  <c r="N252" i="4" s="1"/>
  <c r="L247" i="4"/>
  <c r="N247" i="4" s="1"/>
  <c r="L253" i="4"/>
  <c r="N253" i="4" s="1"/>
  <c r="L256" i="4"/>
  <c r="N256" i="4" s="1"/>
  <c r="L246" i="4"/>
  <c r="N246" i="4" s="1"/>
  <c r="L257" i="4"/>
  <c r="N257" i="4" s="1"/>
  <c r="L258" i="4"/>
  <c r="N258" i="4" s="1"/>
  <c r="L249" i="4"/>
  <c r="N249" i="4" s="1"/>
  <c r="L250" i="4"/>
  <c r="N250" i="4" s="1"/>
  <c r="L255" i="4"/>
  <c r="N255" i="4" s="1"/>
  <c r="L254" i="4"/>
  <c r="N254" i="4" s="1"/>
  <c r="L248" i="4"/>
  <c r="N248" i="4" s="1"/>
  <c r="L251" i="4"/>
  <c r="N251" i="4" s="1"/>
  <c r="G17" i="4"/>
  <c r="H17" i="4"/>
  <c r="L74" i="13"/>
  <c r="J8" i="4"/>
  <c r="K242" i="4"/>
  <c r="K274" i="4" s="1"/>
  <c r="N324" i="4"/>
  <c r="O214" i="4"/>
  <c r="O215" i="4" s="1"/>
  <c r="M79" i="13"/>
  <c r="M10" i="13"/>
  <c r="M90" i="13"/>
  <c r="M39" i="13"/>
  <c r="N39" i="13" s="1"/>
  <c r="Q138" i="13"/>
  <c r="Q140" i="13" s="1"/>
  <c r="M73" i="13"/>
  <c r="M58" i="13"/>
  <c r="Q143" i="13"/>
  <c r="Q145" i="13" s="1"/>
  <c r="M253" i="13"/>
  <c r="J11" i="4"/>
  <c r="J9" i="4"/>
  <c r="K9" i="4" s="1"/>
  <c r="L9" i="4" s="1"/>
  <c r="J12" i="4"/>
  <c r="L242" i="4" l="1"/>
  <c r="L274" i="4" s="1"/>
  <c r="N253" i="13"/>
  <c r="N254" i="13" s="1"/>
  <c r="M254" i="13"/>
  <c r="N78" i="13"/>
  <c r="Q78" i="13" s="1"/>
  <c r="R78" i="13" s="1"/>
  <c r="N79" i="13"/>
  <c r="J17" i="4"/>
  <c r="M74" i="13"/>
  <c r="N73" i="13"/>
  <c r="N90" i="13"/>
  <c r="M92" i="13"/>
  <c r="K8" i="4"/>
  <c r="K12" i="4"/>
  <c r="L12" i="4" s="1"/>
  <c r="N12" i="4" s="1"/>
  <c r="K11" i="4"/>
  <c r="L11" i="4" s="1"/>
  <c r="N11" i="4" s="1"/>
  <c r="O324" i="4"/>
  <c r="N10" i="13"/>
  <c r="R143" i="13"/>
  <c r="R145" i="13" s="1"/>
  <c r="R138" i="13"/>
  <c r="R140" i="13" s="1"/>
  <c r="N9" i="4"/>
  <c r="J189" i="13"/>
  <c r="J192" i="13" s="1"/>
  <c r="I189" i="13"/>
  <c r="I192" i="13" s="1"/>
  <c r="I125" i="13"/>
  <c r="L125" i="13" s="1"/>
  <c r="M125" i="13" s="1"/>
  <c r="N125" i="13" s="1"/>
  <c r="N242" i="4" l="1"/>
  <c r="N274" i="4" s="1"/>
  <c r="K17" i="4"/>
  <c r="N74" i="13"/>
  <c r="Q73" i="13"/>
  <c r="Q74" i="13" s="1"/>
  <c r="L8" i="4"/>
  <c r="L17" i="4" s="1"/>
  <c r="O9" i="4"/>
  <c r="O11" i="4"/>
  <c r="Q79" i="13"/>
  <c r="Q90" i="13"/>
  <c r="Q39" i="13"/>
  <c r="Q58" i="13"/>
  <c r="Q253" i="13"/>
  <c r="Q254" i="13" s="1"/>
  <c r="L189" i="13"/>
  <c r="L192" i="13" s="1"/>
  <c r="Q10" i="13"/>
  <c r="H115" i="16"/>
  <c r="I115" i="16"/>
  <c r="O12" i="4" l="1"/>
  <c r="R58" i="13"/>
  <c r="R73" i="13"/>
  <c r="R74" i="13" s="1"/>
  <c r="R39" i="13"/>
  <c r="M189" i="13"/>
  <c r="R10" i="13"/>
  <c r="N8" i="4"/>
  <c r="N17" i="4" s="1"/>
  <c r="J245" i="13"/>
  <c r="J129" i="13"/>
  <c r="K82" i="16"/>
  <c r="J102" i="16"/>
  <c r="I102" i="16"/>
  <c r="H102" i="16"/>
  <c r="G102" i="16"/>
  <c r="J54" i="16"/>
  <c r="I54" i="16"/>
  <c r="H54" i="16"/>
  <c r="G54" i="16"/>
  <c r="N189" i="13" l="1"/>
  <c r="N192" i="13" s="1"/>
  <c r="M192" i="13"/>
  <c r="O8" i="4"/>
  <c r="O17" i="4" s="1"/>
  <c r="L82" i="16"/>
  <c r="L73" i="16"/>
  <c r="L74" i="16" s="1"/>
  <c r="L101" i="16"/>
  <c r="L102" i="16" s="1"/>
  <c r="L54" i="16"/>
  <c r="L125" i="16" s="1"/>
  <c r="Q125" i="13" l="1"/>
  <c r="Q129" i="13" s="1"/>
  <c r="Q189" i="13"/>
  <c r="Q192" i="13" s="1"/>
  <c r="G295" i="4"/>
  <c r="H295" i="4"/>
  <c r="H311" i="4"/>
  <c r="H312" i="4" s="1"/>
  <c r="G311" i="4"/>
  <c r="G312" i="4" s="1"/>
  <c r="H177" i="4"/>
  <c r="G177" i="4"/>
  <c r="I185" i="13"/>
  <c r="I186" i="13" s="1"/>
  <c r="R125" i="13" l="1"/>
  <c r="R129" i="13" s="1"/>
  <c r="R189" i="13"/>
  <c r="R192" i="13" s="1"/>
  <c r="L185" i="13"/>
  <c r="L186" i="13" s="1"/>
  <c r="J311" i="4"/>
  <c r="J295" i="4"/>
  <c r="K295" i="4" s="1"/>
  <c r="L295" i="4" s="1"/>
  <c r="J177" i="4"/>
  <c r="K177" i="4" s="1"/>
  <c r="L177" i="4" s="1"/>
  <c r="O259" i="4"/>
  <c r="J312" i="4" l="1"/>
  <c r="K311" i="4"/>
  <c r="L311" i="4" s="1"/>
  <c r="M185" i="13"/>
  <c r="M186" i="13" s="1"/>
  <c r="N295" i="4"/>
  <c r="O295" i="4" s="1"/>
  <c r="N177" i="4"/>
  <c r="O177" i="4" s="1"/>
  <c r="K312" i="4" l="1"/>
  <c r="L312" i="4"/>
  <c r="N185" i="13"/>
  <c r="N186" i="13" s="1"/>
  <c r="K38" i="16"/>
  <c r="G138" i="4"/>
  <c r="L36" i="16" l="1"/>
  <c r="L38" i="16" s="1"/>
  <c r="N311" i="4"/>
  <c r="N312" i="4" s="1"/>
  <c r="Q185" i="13"/>
  <c r="Q186" i="13" s="1"/>
  <c r="B12" i="16"/>
  <c r="B16" i="16" s="1"/>
  <c r="O143" i="4"/>
  <c r="O311" i="4" l="1"/>
  <c r="O312" i="4" s="1"/>
  <c r="R185" i="13"/>
  <c r="R186" i="13" s="1"/>
  <c r="B20" i="16" l="1"/>
  <c r="B23" i="16" s="1"/>
  <c r="B27" i="16" s="1"/>
  <c r="B31" i="16" s="1"/>
  <c r="B32" i="16" s="1"/>
  <c r="I215" i="13"/>
  <c r="J215" i="13"/>
  <c r="G65" i="4"/>
  <c r="H65" i="4"/>
  <c r="H20" i="14"/>
  <c r="G20" i="14"/>
  <c r="J99" i="13"/>
  <c r="J100" i="13" s="1"/>
  <c r="I99" i="13"/>
  <c r="I100" i="13" s="1"/>
  <c r="I104" i="13"/>
  <c r="J104" i="13"/>
  <c r="I103" i="13"/>
  <c r="I107" i="13" l="1"/>
  <c r="J20" i="14"/>
  <c r="L104" i="13"/>
  <c r="M104" i="13" s="1"/>
  <c r="N104" i="13" s="1"/>
  <c r="L215" i="13"/>
  <c r="L99" i="13"/>
  <c r="L100" i="13" s="1"/>
  <c r="J65" i="4"/>
  <c r="K20" i="14" l="1"/>
  <c r="L20" i="14" s="1"/>
  <c r="K65" i="4"/>
  <c r="L65" i="4" s="1"/>
  <c r="Q104" i="13"/>
  <c r="R104" i="13" s="1"/>
  <c r="M215" i="13"/>
  <c r="N215" i="13" s="1"/>
  <c r="M99" i="13"/>
  <c r="M100" i="13" s="1"/>
  <c r="O242" i="4"/>
  <c r="N65" i="4" l="1"/>
  <c r="N99" i="13"/>
  <c r="N100" i="13" s="1"/>
  <c r="I209" i="13"/>
  <c r="I221" i="13"/>
  <c r="J221" i="13"/>
  <c r="J209" i="13"/>
  <c r="J206" i="13"/>
  <c r="J212" i="13" s="1"/>
  <c r="I206" i="13"/>
  <c r="I212" i="13" s="1"/>
  <c r="J195" i="13"/>
  <c r="I195" i="13"/>
  <c r="J38" i="13"/>
  <c r="J45" i="13" s="1"/>
  <c r="I38" i="13"/>
  <c r="I45" i="13" s="1"/>
  <c r="H285" i="4"/>
  <c r="H287" i="4"/>
  <c r="H288" i="4"/>
  <c r="H289" i="4"/>
  <c r="H293" i="4"/>
  <c r="H290" i="4"/>
  <c r="H292" i="4"/>
  <c r="H294" i="4"/>
  <c r="H291" i="4"/>
  <c r="H297" i="4"/>
  <c r="G285" i="4"/>
  <c r="G287" i="4"/>
  <c r="G288" i="4"/>
  <c r="G289" i="4"/>
  <c r="G293" i="4"/>
  <c r="G290" i="4"/>
  <c r="G292" i="4"/>
  <c r="G294" i="4"/>
  <c r="G291" i="4"/>
  <c r="G297" i="4"/>
  <c r="G284" i="4"/>
  <c r="H284" i="4"/>
  <c r="G69" i="4"/>
  <c r="H69" i="4"/>
  <c r="B36" i="16"/>
  <c r="B37" i="16" s="1"/>
  <c r="B41" i="16" s="1"/>
  <c r="B45" i="16" s="1"/>
  <c r="B49" i="16" s="1"/>
  <c r="K999974" i="16"/>
  <c r="C16649" i="16"/>
  <c r="C16651" i="16" s="1"/>
  <c r="K41" i="16"/>
  <c r="K42" i="16" s="1"/>
  <c r="J28" i="16"/>
  <c r="G28" i="16"/>
  <c r="K28" i="16"/>
  <c r="J17" i="16"/>
  <c r="G17" i="16"/>
  <c r="I17" i="16"/>
  <c r="H17" i="16"/>
  <c r="L16" i="16"/>
  <c r="G125" i="16" l="1"/>
  <c r="L17" i="16"/>
  <c r="J218" i="13"/>
  <c r="J224" i="13"/>
  <c r="I218" i="13"/>
  <c r="I224" i="13"/>
  <c r="N20" i="14"/>
  <c r="L45" i="16"/>
  <c r="L46" i="16" s="1"/>
  <c r="L27" i="16"/>
  <c r="L28" i="16" s="1"/>
  <c r="L41" i="16"/>
  <c r="L42" i="16" s="1"/>
  <c r="Q215" i="13"/>
  <c r="Q99" i="13"/>
  <c r="Q100" i="13" s="1"/>
  <c r="L38" i="13"/>
  <c r="L209" i="13"/>
  <c r="L206" i="13"/>
  <c r="L195" i="13"/>
  <c r="L221" i="13"/>
  <c r="J294" i="4"/>
  <c r="K294" i="4" s="1"/>
  <c r="L294" i="4" s="1"/>
  <c r="J290" i="4"/>
  <c r="K290" i="4" s="1"/>
  <c r="L290" i="4" s="1"/>
  <c r="J285" i="4"/>
  <c r="J288" i="4"/>
  <c r="K288" i="4" s="1"/>
  <c r="L288" i="4" s="1"/>
  <c r="J297" i="4"/>
  <c r="K297" i="4" s="1"/>
  <c r="L297" i="4" s="1"/>
  <c r="J69" i="4"/>
  <c r="K69" i="4" s="1"/>
  <c r="L69" i="4" s="1"/>
  <c r="J291" i="4"/>
  <c r="K291" i="4" s="1"/>
  <c r="L291" i="4" s="1"/>
  <c r="J289" i="4"/>
  <c r="K289" i="4" s="1"/>
  <c r="L289" i="4" s="1"/>
  <c r="J292" i="4"/>
  <c r="K292" i="4" s="1"/>
  <c r="L292" i="4" s="1"/>
  <c r="J287" i="4"/>
  <c r="K287" i="4" s="1"/>
  <c r="L287" i="4" s="1"/>
  <c r="J284" i="4"/>
  <c r="J293" i="4"/>
  <c r="K293" i="4" s="1"/>
  <c r="L293" i="4" s="1"/>
  <c r="I28" i="16"/>
  <c r="I125" i="16" s="1"/>
  <c r="L32" i="16"/>
  <c r="L33" i="16" s="1"/>
  <c r="H28" i="16"/>
  <c r="H125" i="16" s="1"/>
  <c r="L212" i="13" l="1"/>
  <c r="L218" i="13"/>
  <c r="M221" i="13"/>
  <c r="L224" i="13"/>
  <c r="M38" i="13"/>
  <c r="L45" i="13"/>
  <c r="O20" i="14"/>
  <c r="K284" i="4"/>
  <c r="K285" i="4"/>
  <c r="L285" i="4" s="1"/>
  <c r="R215" i="13"/>
  <c r="R99" i="13"/>
  <c r="R100" i="13" s="1"/>
  <c r="M195" i="13"/>
  <c r="N195" i="13" s="1"/>
  <c r="M206" i="13"/>
  <c r="M212" i="13" s="1"/>
  <c r="N292" i="4"/>
  <c r="O292" i="4" s="1"/>
  <c r="N297" i="4"/>
  <c r="O297" i="4" s="1"/>
  <c r="N291" i="4"/>
  <c r="O291" i="4" s="1"/>
  <c r="N289" i="4"/>
  <c r="O289" i="4" s="1"/>
  <c r="N290" i="4"/>
  <c r="N294" i="4"/>
  <c r="O294" i="4" s="1"/>
  <c r="N288" i="4"/>
  <c r="N293" i="4"/>
  <c r="O293" i="4" s="1"/>
  <c r="M209" i="13"/>
  <c r="N209" i="13" s="1"/>
  <c r="M224" i="13" l="1"/>
  <c r="N221" i="13"/>
  <c r="N224" i="13" s="1"/>
  <c r="N38" i="13"/>
  <c r="N45" i="13" s="1"/>
  <c r="M45" i="13"/>
  <c r="N206" i="13"/>
  <c r="N212" i="13" s="1"/>
  <c r="M218" i="13"/>
  <c r="N218" i="13"/>
  <c r="L284" i="4"/>
  <c r="O288" i="4"/>
  <c r="N287" i="4"/>
  <c r="O287" i="4" s="1"/>
  <c r="N285" i="4"/>
  <c r="N69" i="4"/>
  <c r="O290" i="4"/>
  <c r="G83" i="4"/>
  <c r="H83" i="4"/>
  <c r="G325" i="4"/>
  <c r="G327" i="4" s="1"/>
  <c r="H325" i="4"/>
  <c r="H327" i="4" s="1"/>
  <c r="Q38" i="13" l="1"/>
  <c r="Q45" i="13" s="1"/>
  <c r="O285" i="4"/>
  <c r="Q221" i="13"/>
  <c r="R38" i="13"/>
  <c r="R45" i="13" s="1"/>
  <c r="Q206" i="13"/>
  <c r="Q195" i="13"/>
  <c r="N284" i="4"/>
  <c r="Q209" i="13"/>
  <c r="J83" i="4"/>
  <c r="J325" i="4"/>
  <c r="H234" i="4"/>
  <c r="G234" i="4"/>
  <c r="H233" i="4"/>
  <c r="G233" i="4"/>
  <c r="G219" i="4"/>
  <c r="H219" i="4"/>
  <c r="J172" i="13"/>
  <c r="J173" i="13" s="1"/>
  <c r="I172" i="13"/>
  <c r="I173" i="13" s="1"/>
  <c r="Q212" i="13" l="1"/>
  <c r="Q218" i="13"/>
  <c r="Q224" i="13"/>
  <c r="J327" i="4"/>
  <c r="K325" i="4"/>
  <c r="L325" i="4" s="1"/>
  <c r="H235" i="4"/>
  <c r="G235" i="4"/>
  <c r="R195" i="13"/>
  <c r="O284" i="4"/>
  <c r="J233" i="4"/>
  <c r="K233" i="4" s="1"/>
  <c r="L233" i="4" s="1"/>
  <c r="R209" i="13"/>
  <c r="L172" i="13"/>
  <c r="L173" i="13" s="1"/>
  <c r="J234" i="4"/>
  <c r="K234" i="4" s="1"/>
  <c r="L234" i="4" s="1"/>
  <c r="K83" i="4"/>
  <c r="L83" i="4" s="1"/>
  <c r="J219" i="4"/>
  <c r="K219" i="4" s="1"/>
  <c r="L219" i="4" s="1"/>
  <c r="O253" i="4"/>
  <c r="R79" i="13"/>
  <c r="I245" i="13"/>
  <c r="R221" i="13"/>
  <c r="R218" i="13" l="1"/>
  <c r="R224" i="13"/>
  <c r="K327" i="4"/>
  <c r="L327" i="4"/>
  <c r="N233" i="4"/>
  <c r="O233" i="4" s="1"/>
  <c r="M172" i="13"/>
  <c r="N172" i="13" s="1"/>
  <c r="J235" i="4"/>
  <c r="N234" i="4"/>
  <c r="O234" i="4" s="1"/>
  <c r="N219" i="4"/>
  <c r="L245" i="13"/>
  <c r="R90" i="13"/>
  <c r="N173" i="13" l="1"/>
  <c r="M173" i="13"/>
  <c r="O219" i="4"/>
  <c r="K235" i="4"/>
  <c r="L235" i="4"/>
  <c r="N325" i="4"/>
  <c r="N327" i="4" s="1"/>
  <c r="N83" i="4"/>
  <c r="M245" i="13" l="1"/>
  <c r="R245" i="13"/>
  <c r="Q172" i="13"/>
  <c r="Q173" i="13" s="1"/>
  <c r="O325" i="4"/>
  <c r="O327" i="4" s="1"/>
  <c r="N235" i="4"/>
  <c r="O83" i="4"/>
  <c r="J196" i="13"/>
  <c r="J197" i="13" s="1"/>
  <c r="I197" i="13"/>
  <c r="J176" i="13"/>
  <c r="I176" i="13"/>
  <c r="I30" i="13"/>
  <c r="J30" i="13"/>
  <c r="J103" i="13"/>
  <c r="J107" i="13" s="1"/>
  <c r="J51" i="13"/>
  <c r="J53" i="13" s="1"/>
  <c r="I51" i="13"/>
  <c r="I53" i="13" s="1"/>
  <c r="I24" i="13"/>
  <c r="I26" i="13" s="1"/>
  <c r="J24" i="13"/>
  <c r="J26" i="13" s="1"/>
  <c r="Q245" i="13" l="1"/>
  <c r="N245" i="13"/>
  <c r="L30" i="13"/>
  <c r="L51" i="13"/>
  <c r="L53" i="13" s="1"/>
  <c r="L24" i="13"/>
  <c r="L26" i="13" s="1"/>
  <c r="L176" i="13"/>
  <c r="L103" i="13"/>
  <c r="L107" i="13" s="1"/>
  <c r="L196" i="13"/>
  <c r="L197" i="13" s="1"/>
  <c r="O235" i="4"/>
  <c r="M30" i="13" l="1"/>
  <c r="M51" i="13"/>
  <c r="M53" i="13" s="1"/>
  <c r="M176" i="13"/>
  <c r="M196" i="13"/>
  <c r="N196" i="13" s="1"/>
  <c r="M103" i="13"/>
  <c r="M24" i="13"/>
  <c r="M26" i="13" s="1"/>
  <c r="R172" i="13"/>
  <c r="R173" i="13" s="1"/>
  <c r="N30" i="13" l="1"/>
  <c r="N103" i="13"/>
  <c r="N107" i="13" s="1"/>
  <c r="M107" i="13"/>
  <c r="N51" i="13"/>
  <c r="N53" i="13" s="1"/>
  <c r="N24" i="13"/>
  <c r="N26" i="13" s="1"/>
  <c r="N197" i="13"/>
  <c r="M197" i="13"/>
  <c r="N176" i="13"/>
  <c r="H15" i="14"/>
  <c r="H21" i="14" s="1"/>
  <c r="G340" i="4"/>
  <c r="G343" i="4"/>
  <c r="G338" i="4"/>
  <c r="G337" i="4"/>
  <c r="G334" i="4"/>
  <c r="J334" i="4" s="1"/>
  <c r="G339" i="4"/>
  <c r="G336" i="4"/>
  <c r="G333" i="4"/>
  <c r="G342" i="4"/>
  <c r="G335" i="4"/>
  <c r="J335" i="4" s="1"/>
  <c r="G332" i="4"/>
  <c r="G192" i="4"/>
  <c r="G331" i="4"/>
  <c r="G345" i="4" l="1"/>
  <c r="Q30" i="13"/>
  <c r="K334" i="4"/>
  <c r="L334" i="4" s="1"/>
  <c r="K335" i="4"/>
  <c r="L335" i="4" s="1"/>
  <c r="Q51" i="13"/>
  <c r="Q53" i="13" s="1"/>
  <c r="Q176" i="13"/>
  <c r="Q196" i="13"/>
  <c r="Q197" i="13" s="1"/>
  <c r="Q103" i="13"/>
  <c r="Q107" i="13" s="1"/>
  <c r="Q24" i="13"/>
  <c r="Q26" i="13" s="1"/>
  <c r="J333" i="4"/>
  <c r="K333" i="4" s="1"/>
  <c r="L333" i="4" s="1"/>
  <c r="J343" i="4"/>
  <c r="J337" i="4"/>
  <c r="J342" i="4"/>
  <c r="J331" i="4"/>
  <c r="K331" i="4" s="1"/>
  <c r="L331" i="4" s="1"/>
  <c r="J336" i="4"/>
  <c r="J338" i="4"/>
  <c r="J340" i="4"/>
  <c r="K340" i="4" s="1"/>
  <c r="L340" i="4" s="1"/>
  <c r="J339" i="4"/>
  <c r="K339" i="4" s="1"/>
  <c r="L339" i="4" s="1"/>
  <c r="J332" i="4"/>
  <c r="K332" i="4" s="1"/>
  <c r="L332" i="4" s="1"/>
  <c r="O246" i="4"/>
  <c r="O258" i="4"/>
  <c r="O254" i="4"/>
  <c r="J345" i="4" l="1"/>
  <c r="R30" i="13"/>
  <c r="N335" i="4"/>
  <c r="O335" i="4" s="1"/>
  <c r="K338" i="4"/>
  <c r="L338" i="4" s="1"/>
  <c r="K342" i="4"/>
  <c r="L342" i="4" s="1"/>
  <c r="K337" i="4"/>
  <c r="L337" i="4" s="1"/>
  <c r="K336" i="4"/>
  <c r="L336" i="4" s="1"/>
  <c r="K343" i="4"/>
  <c r="L343" i="4" s="1"/>
  <c r="R176" i="13"/>
  <c r="R51" i="13"/>
  <c r="R53" i="13" s="1"/>
  <c r="R103" i="13"/>
  <c r="R107" i="13" s="1"/>
  <c r="R196" i="13"/>
  <c r="R197" i="13" s="1"/>
  <c r="N340" i="4"/>
  <c r="O340" i="4" s="1"/>
  <c r="N334" i="4"/>
  <c r="O334" i="4" s="1"/>
  <c r="R24" i="13"/>
  <c r="G200" i="4"/>
  <c r="G201" i="4" s="1"/>
  <c r="H307" i="4"/>
  <c r="H308" i="4" s="1"/>
  <c r="G307" i="4"/>
  <c r="H320" i="4"/>
  <c r="H321" i="4" s="1"/>
  <c r="G320" i="4"/>
  <c r="G321" i="4" s="1"/>
  <c r="H316" i="4"/>
  <c r="H317" i="4" s="1"/>
  <c r="G316" i="4"/>
  <c r="G317" i="4" s="1"/>
  <c r="H277" i="4"/>
  <c r="H282" i="4" s="1"/>
  <c r="G277" i="4"/>
  <c r="G282" i="4" s="1"/>
  <c r="H205" i="4"/>
  <c r="H207" i="4" s="1"/>
  <c r="G205" i="4"/>
  <c r="G207" i="4" s="1"/>
  <c r="G308" i="4" l="1"/>
  <c r="L345" i="4"/>
  <c r="K345" i="4"/>
  <c r="N343" i="4"/>
  <c r="O343" i="4" s="1"/>
  <c r="N342" i="4"/>
  <c r="O342" i="4" s="1"/>
  <c r="N337" i="4"/>
  <c r="O337" i="4" s="1"/>
  <c r="N336" i="4"/>
  <c r="O336" i="4" s="1"/>
  <c r="N338" i="4"/>
  <c r="O338" i="4" s="1"/>
  <c r="N333" i="4"/>
  <c r="N332" i="4"/>
  <c r="N339" i="4"/>
  <c r="O339" i="4" s="1"/>
  <c r="J205" i="4"/>
  <c r="J207" i="4" s="1"/>
  <c r="J320" i="4"/>
  <c r="K320" i="4" s="1"/>
  <c r="L320" i="4" s="1"/>
  <c r="J316" i="4"/>
  <c r="J317" i="4" s="1"/>
  <c r="J307" i="4"/>
  <c r="J308" i="4" s="1"/>
  <c r="J277" i="4"/>
  <c r="J282" i="4" s="1"/>
  <c r="K277" i="4" l="1"/>
  <c r="K282" i="4" s="1"/>
  <c r="K307" i="4"/>
  <c r="K205" i="4"/>
  <c r="L205" i="4" s="1"/>
  <c r="K316" i="4"/>
  <c r="L316" i="4" s="1"/>
  <c r="J321" i="4"/>
  <c r="N331" i="4"/>
  <c r="N345" i="4" s="1"/>
  <c r="L277" i="4" l="1"/>
  <c r="L282" i="4" s="1"/>
  <c r="L307" i="4"/>
  <c r="L308" i="4" s="1"/>
  <c r="K308" i="4"/>
  <c r="K207" i="4"/>
  <c r="L207" i="4"/>
  <c r="L317" i="4"/>
  <c r="K317" i="4"/>
  <c r="L321" i="4"/>
  <c r="K321" i="4"/>
  <c r="H94" i="4"/>
  <c r="G94" i="4"/>
  <c r="H123" i="4"/>
  <c r="G123" i="4"/>
  <c r="N307" i="4" l="1"/>
  <c r="N320" i="4"/>
  <c r="N321" i="4" s="1"/>
  <c r="N205" i="4"/>
  <c r="N207" i="4" s="1"/>
  <c r="J94" i="4"/>
  <c r="N316" i="4"/>
  <c r="N317" i="4" s="1"/>
  <c r="N277" i="4"/>
  <c r="N282" i="4" s="1"/>
  <c r="J123" i="4"/>
  <c r="K123" i="4" l="1"/>
  <c r="L123" i="4" s="1"/>
  <c r="O205" i="4"/>
  <c r="O207" i="4" s="1"/>
  <c r="O320" i="4"/>
  <c r="O321" i="4" s="1"/>
  <c r="O307" i="4"/>
  <c r="O316" i="4"/>
  <c r="O317" i="4" s="1"/>
  <c r="O277" i="4"/>
  <c r="O282" i="4" s="1"/>
  <c r="J117" i="13"/>
  <c r="J119" i="13" s="1"/>
  <c r="I117" i="13"/>
  <c r="I119" i="13" s="1"/>
  <c r="I77" i="13"/>
  <c r="I81" i="13" s="1"/>
  <c r="J77" i="13"/>
  <c r="J81" i="13" s="1"/>
  <c r="O50" i="4"/>
  <c r="O51" i="4" s="1"/>
  <c r="K94" i="4" l="1"/>
  <c r="L94" i="4"/>
  <c r="L77" i="13"/>
  <c r="L81" i="13" s="1"/>
  <c r="L117" i="13"/>
  <c r="L119" i="13" s="1"/>
  <c r="N123" i="4" l="1"/>
  <c r="O123" i="4" s="1"/>
  <c r="M77" i="13"/>
  <c r="M117" i="13"/>
  <c r="M119" i="13" s="1"/>
  <c r="N77" i="13" l="1"/>
  <c r="M81" i="13"/>
  <c r="N80" i="13" s="1"/>
  <c r="Q80" i="13" s="1"/>
  <c r="R80" i="13" s="1"/>
  <c r="N117" i="13"/>
  <c r="N119" i="13" s="1"/>
  <c r="N81" i="13" l="1"/>
  <c r="Q77" i="13"/>
  <c r="Q81" i="13" s="1"/>
  <c r="Q117" i="13"/>
  <c r="Q119" i="13" s="1"/>
  <c r="G176" i="4"/>
  <c r="H176" i="4"/>
  <c r="G168" i="4"/>
  <c r="H168" i="4"/>
  <c r="R77" i="13" l="1"/>
  <c r="R81" i="13" s="1"/>
  <c r="R117" i="13"/>
  <c r="R119" i="13" s="1"/>
  <c r="J168" i="4"/>
  <c r="J176" i="4"/>
  <c r="K176" i="4" s="1"/>
  <c r="L176" i="4" s="1"/>
  <c r="O256" i="4"/>
  <c r="G112" i="4"/>
  <c r="H112" i="4"/>
  <c r="K168" i="4" l="1"/>
  <c r="L168" i="4" s="1"/>
  <c r="N176" i="4"/>
  <c r="J112" i="4"/>
  <c r="K112" i="4" s="1"/>
  <c r="L112" i="4" s="1"/>
  <c r="G54" i="4"/>
  <c r="O176" i="4" l="1"/>
  <c r="N112" i="4"/>
  <c r="O112" i="4" s="1"/>
  <c r="I177" i="13"/>
  <c r="J177" i="13"/>
  <c r="N168" i="4" l="1"/>
  <c r="L177" i="13"/>
  <c r="M177" i="13" l="1"/>
  <c r="O168" i="4"/>
  <c r="G116" i="4"/>
  <c r="H116" i="4"/>
  <c r="G111" i="4"/>
  <c r="H111" i="4"/>
  <c r="N177" i="13" l="1"/>
  <c r="J111" i="4"/>
  <c r="K111" i="4" s="1"/>
  <c r="L111" i="4" s="1"/>
  <c r="J116" i="4"/>
  <c r="Q177" i="13" l="1"/>
  <c r="K116" i="4"/>
  <c r="L116" i="4" s="1"/>
  <c r="J178" i="13"/>
  <c r="I178" i="13"/>
  <c r="H98" i="4"/>
  <c r="G44" i="4"/>
  <c r="H130" i="4"/>
  <c r="G151" i="4"/>
  <c r="G130" i="4"/>
  <c r="G36" i="4"/>
  <c r="H36" i="4"/>
  <c r="G182" i="4"/>
  <c r="G183" i="4" s="1"/>
  <c r="H182" i="4"/>
  <c r="H183" i="4" s="1"/>
  <c r="H54" i="4"/>
  <c r="J54" i="4" s="1"/>
  <c r="K54" i="4" s="1"/>
  <c r="L54" i="4" s="1"/>
  <c r="N54" i="4" s="1"/>
  <c r="G22" i="4"/>
  <c r="H22" i="4"/>
  <c r="H25" i="4" s="1"/>
  <c r="G82" i="4"/>
  <c r="H82" i="4"/>
  <c r="G45" i="4"/>
  <c r="H45" i="4"/>
  <c r="G87" i="4"/>
  <c r="H87" i="4"/>
  <c r="J98" i="4" l="1"/>
  <c r="K98" i="4" s="1"/>
  <c r="L98" i="4" s="1"/>
  <c r="N98" i="4" s="1"/>
  <c r="H102" i="4"/>
  <c r="L178" i="13"/>
  <c r="J130" i="4"/>
  <c r="J151" i="4"/>
  <c r="K151" i="4" s="1"/>
  <c r="L151" i="4" s="1"/>
  <c r="J22" i="4"/>
  <c r="J82" i="4"/>
  <c r="K82" i="4" s="1"/>
  <c r="L82" i="4" s="1"/>
  <c r="J87" i="4"/>
  <c r="J36" i="4"/>
  <c r="J45" i="4"/>
  <c r="J182" i="4"/>
  <c r="J183" i="4" s="1"/>
  <c r="R253" i="13"/>
  <c r="R254" i="13" s="1"/>
  <c r="M178" i="13" l="1"/>
  <c r="K36" i="4"/>
  <c r="O98" i="4"/>
  <c r="K87" i="4"/>
  <c r="L87" i="4" s="1"/>
  <c r="K45" i="4"/>
  <c r="K22" i="4"/>
  <c r="N116" i="4"/>
  <c r="K130" i="4"/>
  <c r="L130" i="4" s="1"/>
  <c r="N151" i="4"/>
  <c r="N152" i="4" s="1"/>
  <c r="K182" i="4"/>
  <c r="L182" i="4" s="1"/>
  <c r="N178" i="13" l="1"/>
  <c r="L36" i="4"/>
  <c r="N36" i="4" s="1"/>
  <c r="K183" i="4"/>
  <c r="L183" i="4"/>
  <c r="N130" i="4"/>
  <c r="L45" i="4"/>
  <c r="N45" i="4" s="1"/>
  <c r="O45" i="4" s="1"/>
  <c r="L22" i="4"/>
  <c r="O116" i="4"/>
  <c r="N55" i="4"/>
  <c r="Q178" i="13" l="1"/>
  <c r="N22" i="4"/>
  <c r="N87" i="4"/>
  <c r="N182" i="4"/>
  <c r="N183" i="4" s="1"/>
  <c r="N82" i="4"/>
  <c r="R178" i="13" l="1"/>
  <c r="O182" i="4"/>
  <c r="O183" i="4" s="1"/>
  <c r="R206" i="13" l="1"/>
  <c r="R212" i="13" s="1"/>
  <c r="O65" i="4" l="1"/>
  <c r="O36" i="4"/>
  <c r="I32" i="13" l="1"/>
  <c r="I35" i="13" s="1"/>
  <c r="J32" i="13"/>
  <c r="J35" i="13" s="1"/>
  <c r="I179" i="13"/>
  <c r="I182" i="13" s="1"/>
  <c r="J179" i="13"/>
  <c r="J182" i="13" s="1"/>
  <c r="L179" i="13" l="1"/>
  <c r="L182" i="13" s="1"/>
  <c r="L32" i="13"/>
  <c r="L35" i="13" s="1"/>
  <c r="J261" i="13"/>
  <c r="J262" i="13" s="1"/>
  <c r="I261" i="13"/>
  <c r="I262" i="13" s="1"/>
  <c r="M179" i="13" l="1"/>
  <c r="L261" i="13"/>
  <c r="L262" i="13" s="1"/>
  <c r="M32" i="13"/>
  <c r="R23" i="13"/>
  <c r="R26" i="13" s="1"/>
  <c r="H60" i="4"/>
  <c r="H175" i="4"/>
  <c r="G60" i="4"/>
  <c r="G61" i="4" s="1"/>
  <c r="G175" i="4"/>
  <c r="N179" i="13" l="1"/>
  <c r="N182" i="13" s="1"/>
  <c r="M182" i="13"/>
  <c r="N32" i="13"/>
  <c r="N35" i="13" s="1"/>
  <c r="M35" i="13"/>
  <c r="H61" i="4"/>
  <c r="H179" i="4"/>
  <c r="G179" i="4"/>
  <c r="J60" i="4"/>
  <c r="J61" i="4" s="1"/>
  <c r="M261" i="13"/>
  <c r="N261" i="13" s="1"/>
  <c r="J175" i="4"/>
  <c r="K175" i="4" s="1"/>
  <c r="L175" i="4" s="1"/>
  <c r="H161" i="4"/>
  <c r="G161" i="4"/>
  <c r="J179" i="4" l="1"/>
  <c r="K60" i="4"/>
  <c r="N262" i="13"/>
  <c r="M262" i="13"/>
  <c r="N175" i="4"/>
  <c r="Q179" i="13"/>
  <c r="Q182" i="13" s="1"/>
  <c r="Q32" i="13"/>
  <c r="Q35" i="13" s="1"/>
  <c r="J161" i="4"/>
  <c r="O87" i="4"/>
  <c r="K179" i="4" l="1"/>
  <c r="L179" i="4"/>
  <c r="K61" i="4"/>
  <c r="L60" i="4"/>
  <c r="N60" i="4" s="1"/>
  <c r="N61" i="4" s="1"/>
  <c r="O175" i="4"/>
  <c r="Q261" i="13"/>
  <c r="Q262" i="13" s="1"/>
  <c r="R179" i="13"/>
  <c r="R32" i="13"/>
  <c r="R35" i="13" s="1"/>
  <c r="K161" i="4"/>
  <c r="L61" i="4" l="1"/>
  <c r="N179" i="4"/>
  <c r="L161" i="4"/>
  <c r="R261" i="13"/>
  <c r="R262" i="13" s="1"/>
  <c r="J236" i="13"/>
  <c r="I236" i="13"/>
  <c r="J270" i="13"/>
  <c r="I270" i="13"/>
  <c r="I152" i="13"/>
  <c r="I155" i="13" s="1"/>
  <c r="J64" i="13"/>
  <c r="J66" i="13" s="1"/>
  <c r="I64" i="13"/>
  <c r="I66" i="13" s="1"/>
  <c r="I237" i="13" l="1"/>
  <c r="J237" i="13"/>
  <c r="J271" i="13"/>
  <c r="I271" i="13"/>
  <c r="O60" i="4"/>
  <c r="O61" i="4" s="1"/>
  <c r="O179" i="4"/>
  <c r="L152" i="13"/>
  <c r="L155" i="13" s="1"/>
  <c r="L236" i="13"/>
  <c r="L64" i="13"/>
  <c r="L66" i="13" s="1"/>
  <c r="L270" i="13"/>
  <c r="N161" i="4"/>
  <c r="O331" i="4"/>
  <c r="G238" i="4"/>
  <c r="H238" i="4"/>
  <c r="H240" i="4" s="1"/>
  <c r="G239" i="4"/>
  <c r="H187" i="4"/>
  <c r="H188" i="4" s="1"/>
  <c r="G187" i="4"/>
  <c r="G229" i="4"/>
  <c r="H229" i="4"/>
  <c r="G225" i="4"/>
  <c r="H225" i="4"/>
  <c r="G218" i="4"/>
  <c r="G221" i="4" s="1"/>
  <c r="H218" i="4"/>
  <c r="H221" i="4" s="1"/>
  <c r="H200" i="4"/>
  <c r="H201" i="4" s="1"/>
  <c r="H163" i="4"/>
  <c r="G163" i="4"/>
  <c r="G164" i="4" s="1"/>
  <c r="H190" i="4"/>
  <c r="G190" i="4"/>
  <c r="H192" i="4"/>
  <c r="H171" i="4"/>
  <c r="G171" i="4"/>
  <c r="H156" i="4"/>
  <c r="H157" i="4" s="1"/>
  <c r="G156" i="4"/>
  <c r="G157" i="4" s="1"/>
  <c r="H126" i="4"/>
  <c r="G126" i="4"/>
  <c r="H136" i="4"/>
  <c r="G136" i="4"/>
  <c r="G139" i="4" s="1"/>
  <c r="H131" i="4"/>
  <c r="H132" i="4" s="1"/>
  <c r="G131" i="4"/>
  <c r="G132" i="4" s="1"/>
  <c r="H138" i="4"/>
  <c r="H169" i="4"/>
  <c r="G169" i="4"/>
  <c r="H110" i="4"/>
  <c r="H114" i="4" s="1"/>
  <c r="G110" i="4"/>
  <c r="G114" i="4" s="1"/>
  <c r="H124" i="4"/>
  <c r="G124" i="4"/>
  <c r="G99" i="4"/>
  <c r="G102" i="4" s="1"/>
  <c r="H88" i="4"/>
  <c r="G88" i="4"/>
  <c r="H43" i="4"/>
  <c r="G43" i="4"/>
  <c r="H44" i="4"/>
  <c r="H118" i="4"/>
  <c r="H120" i="4" s="1"/>
  <c r="G118" i="4"/>
  <c r="G120" i="4" s="1"/>
  <c r="H152" i="4"/>
  <c r="G107" i="4"/>
  <c r="G81" i="4"/>
  <c r="G84" i="4" s="1"/>
  <c r="H81" i="4"/>
  <c r="G147" i="4"/>
  <c r="G148" i="4" s="1"/>
  <c r="H147" i="4"/>
  <c r="H148" i="4" s="1"/>
  <c r="G20" i="4"/>
  <c r="G25" i="4" s="1"/>
  <c r="G28" i="4"/>
  <c r="G29" i="4" s="1"/>
  <c r="G75" i="4"/>
  <c r="G78" i="4" s="1"/>
  <c r="H75" i="4"/>
  <c r="H78" i="4" s="1"/>
  <c r="G70" i="4"/>
  <c r="G71" i="4" s="1"/>
  <c r="H70" i="4"/>
  <c r="H71" i="4" s="1"/>
  <c r="G46" i="4"/>
  <c r="H46" i="4"/>
  <c r="G37" i="4"/>
  <c r="G40" i="4" s="1"/>
  <c r="H37" i="4"/>
  <c r="H40" i="4" s="1"/>
  <c r="H66" i="4"/>
  <c r="H67" i="4" s="1"/>
  <c r="G66" i="4"/>
  <c r="G67" i="4" s="1"/>
  <c r="H127" i="4" l="1"/>
  <c r="G127" i="4"/>
  <c r="H139" i="4"/>
  <c r="G47" i="4"/>
  <c r="H47" i="4"/>
  <c r="H84" i="4"/>
  <c r="G172" i="4"/>
  <c r="H172" i="4"/>
  <c r="G90" i="4"/>
  <c r="H90" i="4"/>
  <c r="H193" i="4"/>
  <c r="J190" i="4"/>
  <c r="K190" i="4" s="1"/>
  <c r="L190" i="4" s="1"/>
  <c r="G193" i="4"/>
  <c r="L237" i="13"/>
  <c r="H164" i="4"/>
  <c r="L271" i="13"/>
  <c r="G188" i="4"/>
  <c r="G226" i="4"/>
  <c r="G240" i="4"/>
  <c r="G152" i="4"/>
  <c r="H230" i="4"/>
  <c r="G230" i="4"/>
  <c r="G55" i="4"/>
  <c r="H55" i="4"/>
  <c r="H226" i="4"/>
  <c r="G215" i="4"/>
  <c r="H215" i="4"/>
  <c r="J44" i="4"/>
  <c r="J99" i="4"/>
  <c r="J102" i="4" s="1"/>
  <c r="J107" i="4"/>
  <c r="J28" i="4"/>
  <c r="M236" i="13"/>
  <c r="M152" i="13"/>
  <c r="M155" i="13" s="1"/>
  <c r="M270" i="13"/>
  <c r="N270" i="13" s="1"/>
  <c r="M64" i="13"/>
  <c r="M66" i="13" s="1"/>
  <c r="J43" i="4"/>
  <c r="J225" i="4"/>
  <c r="J88" i="4"/>
  <c r="J169" i="4"/>
  <c r="J66" i="4"/>
  <c r="J67" i="4" s="1"/>
  <c r="O161" i="4"/>
  <c r="J118" i="4"/>
  <c r="K118" i="4" s="1"/>
  <c r="L118" i="4" s="1"/>
  <c r="J136" i="4"/>
  <c r="J110" i="4"/>
  <c r="J114" i="4" s="1"/>
  <c r="J46" i="4"/>
  <c r="J147" i="4"/>
  <c r="J171" i="4"/>
  <c r="J163" i="4"/>
  <c r="J164" i="4" s="1"/>
  <c r="J239" i="4"/>
  <c r="K239" i="4" s="1"/>
  <c r="L239" i="4" s="1"/>
  <c r="J200" i="4"/>
  <c r="J218" i="4"/>
  <c r="J238" i="4"/>
  <c r="K238" i="4" s="1"/>
  <c r="L238" i="4" s="1"/>
  <c r="J81" i="4"/>
  <c r="J192" i="4"/>
  <c r="K192" i="4" s="1"/>
  <c r="L192" i="4" s="1"/>
  <c r="J229" i="4"/>
  <c r="K229" i="4" s="1"/>
  <c r="J70" i="4"/>
  <c r="J75" i="4"/>
  <c r="J78" i="4" s="1"/>
  <c r="J126" i="4"/>
  <c r="J138" i="4"/>
  <c r="J37" i="4"/>
  <c r="J40" i="4" s="1"/>
  <c r="J20" i="4"/>
  <c r="J124" i="4"/>
  <c r="J131" i="4"/>
  <c r="J156" i="4"/>
  <c r="J157" i="4" s="1"/>
  <c r="J187" i="4"/>
  <c r="O257" i="4"/>
  <c r="O248" i="4"/>
  <c r="O255" i="4"/>
  <c r="O252" i="4"/>
  <c r="O250" i="4"/>
  <c r="O251" i="4"/>
  <c r="O249" i="4"/>
  <c r="O151" i="4"/>
  <c r="O152" i="4" s="1"/>
  <c r="O93" i="4"/>
  <c r="O94" i="4" s="1"/>
  <c r="O332" i="4"/>
  <c r="O333" i="4"/>
  <c r="G15" i="14"/>
  <c r="G21" i="14" s="1"/>
  <c r="L229" i="4" l="1"/>
  <c r="N229" i="4" s="1"/>
  <c r="J127" i="4"/>
  <c r="J139" i="4"/>
  <c r="K131" i="4"/>
  <c r="L131" i="4" s="1"/>
  <c r="J132" i="4"/>
  <c r="J120" i="4"/>
  <c r="J47" i="4"/>
  <c r="K147" i="4"/>
  <c r="J148" i="4"/>
  <c r="O345" i="4"/>
  <c r="J84" i="4"/>
  <c r="K240" i="4"/>
  <c r="J15" i="14"/>
  <c r="J21" i="14" s="1"/>
  <c r="J172" i="4"/>
  <c r="K126" i="4"/>
  <c r="L126" i="4" s="1"/>
  <c r="K99" i="4"/>
  <c r="L99" i="4" s="1"/>
  <c r="J90" i="4"/>
  <c r="J193" i="4"/>
  <c r="J221" i="4"/>
  <c r="K218" i="4"/>
  <c r="L218" i="4" s="1"/>
  <c r="K230" i="4"/>
  <c r="K215" i="4"/>
  <c r="J29" i="4"/>
  <c r="K28" i="4"/>
  <c r="K29" i="4" s="1"/>
  <c r="K225" i="4"/>
  <c r="L225" i="4" s="1"/>
  <c r="J201" i="4"/>
  <c r="K200" i="4"/>
  <c r="L200" i="4" s="1"/>
  <c r="J71" i="4"/>
  <c r="K70" i="4"/>
  <c r="K75" i="4"/>
  <c r="K78" i="4" s="1"/>
  <c r="K66" i="4"/>
  <c r="K43" i="4"/>
  <c r="K46" i="4"/>
  <c r="L46" i="4" s="1"/>
  <c r="K37" i="4"/>
  <c r="K40" i="4" s="1"/>
  <c r="J25" i="4"/>
  <c r="K20" i="4"/>
  <c r="M237" i="13"/>
  <c r="J226" i="4"/>
  <c r="M271" i="13"/>
  <c r="J240" i="4"/>
  <c r="J55" i="4"/>
  <c r="J230" i="4"/>
  <c r="J152" i="4"/>
  <c r="K44" i="4"/>
  <c r="L44" i="4" s="1"/>
  <c r="J188" i="4"/>
  <c r="J215" i="4"/>
  <c r="K136" i="4"/>
  <c r="L136" i="4" s="1"/>
  <c r="K152" i="4"/>
  <c r="K169" i="4"/>
  <c r="L169" i="4" s="1"/>
  <c r="K88" i="4"/>
  <c r="L88" i="4" s="1"/>
  <c r="N64" i="13"/>
  <c r="N66" i="13" s="1"/>
  <c r="K120" i="4"/>
  <c r="N152" i="13"/>
  <c r="N155" i="13" s="1"/>
  <c r="N236" i="13"/>
  <c r="N192" i="4"/>
  <c r="N190" i="4"/>
  <c r="K187" i="4"/>
  <c r="L187" i="4" s="1"/>
  <c r="K156" i="4"/>
  <c r="L156" i="4" s="1"/>
  <c r="K163" i="4"/>
  <c r="K193" i="4"/>
  <c r="K171" i="4"/>
  <c r="L171" i="4" s="1"/>
  <c r="K138" i="4"/>
  <c r="L138" i="4" s="1"/>
  <c r="K124" i="4"/>
  <c r="L124" i="4" s="1"/>
  <c r="K110" i="4"/>
  <c r="L110" i="4" s="1"/>
  <c r="K81" i="4"/>
  <c r="L81" i="4" s="1"/>
  <c r="K21" i="4"/>
  <c r="L21" i="4" s="1"/>
  <c r="O69" i="4"/>
  <c r="O144" i="4"/>
  <c r="O247" i="4"/>
  <c r="O274" i="4" s="1"/>
  <c r="O54" i="4"/>
  <c r="O55" i="4" s="1"/>
  <c r="O22" i="4"/>
  <c r="O130" i="4"/>
  <c r="O82" i="4"/>
  <c r="O135" i="4"/>
  <c r="L147" i="4" l="1"/>
  <c r="N147" i="4" s="1"/>
  <c r="O147" i="4" s="1"/>
  <c r="K164" i="4"/>
  <c r="L163" i="4"/>
  <c r="N225" i="4"/>
  <c r="O225" i="4" s="1"/>
  <c r="K157" i="4"/>
  <c r="L127" i="4"/>
  <c r="K221" i="4"/>
  <c r="L221" i="4"/>
  <c r="L139" i="4"/>
  <c r="K114" i="4"/>
  <c r="K148" i="4"/>
  <c r="L148" i="4"/>
  <c r="K127" i="4"/>
  <c r="K90" i="4"/>
  <c r="L90" i="4"/>
  <c r="K67" i="4"/>
  <c r="L66" i="4"/>
  <c r="L67" i="4" s="1"/>
  <c r="K139" i="4"/>
  <c r="K132" i="4"/>
  <c r="N118" i="4"/>
  <c r="L120" i="4"/>
  <c r="L102" i="4"/>
  <c r="K102" i="4"/>
  <c r="L75" i="4"/>
  <c r="L78" i="4" s="1"/>
  <c r="K71" i="4"/>
  <c r="L70" i="4"/>
  <c r="L71" i="4" s="1"/>
  <c r="L43" i="4"/>
  <c r="L47" i="4" s="1"/>
  <c r="K47" i="4"/>
  <c r="L37" i="4"/>
  <c r="L40" i="4" s="1"/>
  <c r="N193" i="4"/>
  <c r="K84" i="4"/>
  <c r="K25" i="4"/>
  <c r="K172" i="4"/>
  <c r="K226" i="4"/>
  <c r="O190" i="4"/>
  <c r="K55" i="4"/>
  <c r="N46" i="4"/>
  <c r="O46" i="4" s="1"/>
  <c r="N237" i="13"/>
  <c r="O192" i="4"/>
  <c r="L193" i="4"/>
  <c r="K201" i="4"/>
  <c r="L201" i="4"/>
  <c r="K15" i="14"/>
  <c r="L55" i="4"/>
  <c r="K107" i="4"/>
  <c r="L107" i="4"/>
  <c r="N271" i="13"/>
  <c r="K188" i="4"/>
  <c r="L240" i="4"/>
  <c r="L152" i="4"/>
  <c r="L28" i="4"/>
  <c r="L29" i="4" s="1"/>
  <c r="L84" i="4"/>
  <c r="N136" i="4"/>
  <c r="L157" i="4"/>
  <c r="L20" i="4"/>
  <c r="L25" i="4" s="1"/>
  <c r="Q152" i="13"/>
  <c r="Q155" i="13" s="1"/>
  <c r="Q270" i="13"/>
  <c r="Q271" i="13" s="1"/>
  <c r="Q236" i="13"/>
  <c r="Q237" i="13" s="1"/>
  <c r="Q64" i="13"/>
  <c r="Q66" i="13" s="1"/>
  <c r="L188" i="4"/>
  <c r="L15" i="14" l="1"/>
  <c r="L21" i="14" s="1"/>
  <c r="K21" i="14"/>
  <c r="L226" i="4"/>
  <c r="N66" i="4"/>
  <c r="N67" i="4" s="1"/>
  <c r="L132" i="4"/>
  <c r="N131" i="4"/>
  <c r="O118" i="4"/>
  <c r="O120" i="4" s="1"/>
  <c r="N120" i="4"/>
  <c r="N43" i="4"/>
  <c r="O43" i="4" s="1"/>
  <c r="O193" i="4"/>
  <c r="N126" i="4"/>
  <c r="L172" i="4"/>
  <c r="N99" i="4"/>
  <c r="N102" i="4" s="1"/>
  <c r="L230" i="4"/>
  <c r="L164" i="4"/>
  <c r="N163" i="4"/>
  <c r="N164" i="4" s="1"/>
  <c r="N44" i="4"/>
  <c r="N238" i="4"/>
  <c r="N169" i="4"/>
  <c r="N81" i="4"/>
  <c r="L215" i="4"/>
  <c r="N88" i="4"/>
  <c r="N90" i="4" s="1"/>
  <c r="N28" i="4"/>
  <c r="N107" i="4"/>
  <c r="O136" i="4"/>
  <c r="R270" i="13"/>
  <c r="R271" i="13" s="1"/>
  <c r="R236" i="13"/>
  <c r="R237" i="13" s="1"/>
  <c r="R152" i="13"/>
  <c r="R155" i="13" s="1"/>
  <c r="R64" i="13"/>
  <c r="R66" i="13" s="1"/>
  <c r="N187" i="4"/>
  <c r="N188" i="4" s="1"/>
  <c r="N239" i="4"/>
  <c r="N226" i="4"/>
  <c r="N218" i="4"/>
  <c r="N221" i="4" s="1"/>
  <c r="N230" i="4"/>
  <c r="N156" i="4"/>
  <c r="N157" i="4" s="1"/>
  <c r="N200" i="4"/>
  <c r="N201" i="4" s="1"/>
  <c r="N171" i="4"/>
  <c r="N138" i="4"/>
  <c r="N139" i="4" s="1"/>
  <c r="N124" i="4"/>
  <c r="N21" i="4"/>
  <c r="N70" i="4"/>
  <c r="N71" i="4" s="1"/>
  <c r="N75" i="4"/>
  <c r="N78" i="4" s="1"/>
  <c r="N37" i="4"/>
  <c r="N40" i="4" s="1"/>
  <c r="N20" i="4"/>
  <c r="I11" i="13"/>
  <c r="N15" i="14" l="1"/>
  <c r="N21" i="14" s="1"/>
  <c r="O66" i="4"/>
  <c r="O67" i="4" s="1"/>
  <c r="N29" i="4"/>
  <c r="O28" i="4"/>
  <c r="O29" i="4" s="1"/>
  <c r="N132" i="4"/>
  <c r="O131" i="4"/>
  <c r="O132" i="4" s="1"/>
  <c r="N127" i="4"/>
  <c r="N47" i="4"/>
  <c r="N172" i="4"/>
  <c r="N148" i="4"/>
  <c r="N84" i="4"/>
  <c r="N25" i="4"/>
  <c r="N240" i="4"/>
  <c r="O126" i="4"/>
  <c r="O99" i="4"/>
  <c r="O102" i="4" s="1"/>
  <c r="O238" i="4"/>
  <c r="O44" i="4"/>
  <c r="O47" i="4" s="1"/>
  <c r="O169" i="4"/>
  <c r="O81" i="4"/>
  <c r="O88" i="4"/>
  <c r="O90" i="4" s="1"/>
  <c r="I129" i="13"/>
  <c r="O107" i="4"/>
  <c r="L9" i="13"/>
  <c r="L11" i="13" s="1"/>
  <c r="O187" i="4"/>
  <c r="O188" i="4" s="1"/>
  <c r="O239" i="4"/>
  <c r="O218" i="4"/>
  <c r="O221" i="4" s="1"/>
  <c r="O226" i="4"/>
  <c r="O229" i="4"/>
  <c r="O230" i="4" s="1"/>
  <c r="O163" i="4"/>
  <c r="O164" i="4" s="1"/>
  <c r="O156" i="4"/>
  <c r="O157" i="4" s="1"/>
  <c r="O200" i="4"/>
  <c r="O201" i="4" s="1"/>
  <c r="O171" i="4"/>
  <c r="O138" i="4"/>
  <c r="O139" i="4" s="1"/>
  <c r="O124" i="4"/>
  <c r="O37" i="4"/>
  <c r="O40" i="4" s="1"/>
  <c r="O70" i="4"/>
  <c r="O71" i="4" s="1"/>
  <c r="O75" i="4"/>
  <c r="O78" i="4" s="1"/>
  <c r="O20" i="4"/>
  <c r="O21" i="4"/>
  <c r="O15" i="14" l="1"/>
  <c r="O21" i="14" s="1"/>
  <c r="O127" i="4"/>
  <c r="O84" i="4"/>
  <c r="O148" i="4"/>
  <c r="O172" i="4"/>
  <c r="O25" i="4"/>
  <c r="O240" i="4"/>
  <c r="L129" i="13"/>
  <c r="M9" i="13"/>
  <c r="M11" i="13" s="1"/>
  <c r="M129" i="13" l="1"/>
  <c r="N9" i="13"/>
  <c r="N11" i="13" s="1"/>
  <c r="Q1048210" i="13"/>
  <c r="B64882" i="13"/>
  <c r="B64884" i="13" s="1"/>
  <c r="N129" i="13" l="1"/>
  <c r="Q9" i="13"/>
  <c r="Q11" i="13" s="1"/>
  <c r="R9" i="13" l="1"/>
  <c r="R11" i="13" s="1"/>
  <c r="R177" i="13"/>
  <c r="R182" i="13" s="1"/>
  <c r="B16862" i="4"/>
  <c r="B16864" i="4" s="1"/>
  <c r="H210" i="4"/>
  <c r="G210" i="4"/>
  <c r="G211" i="4" l="1"/>
  <c r="G347" i="4" s="1"/>
  <c r="H211" i="4"/>
  <c r="H347" i="4" s="1"/>
  <c r="J210" i="4"/>
  <c r="J211" i="4" s="1"/>
  <c r="J347" i="4" s="1"/>
  <c r="K210" i="4" l="1"/>
  <c r="L210" i="4" s="1"/>
  <c r="K211" i="4" l="1"/>
  <c r="K347" i="4" s="1"/>
  <c r="L211" i="4"/>
  <c r="M877147" i="14"/>
  <c r="N210" i="4" l="1"/>
  <c r="N211" i="4" s="1"/>
  <c r="O210" i="4" l="1"/>
  <c r="O211" i="4" s="1"/>
  <c r="B53" i="16" l="1"/>
  <c r="B57" i="16" s="1"/>
  <c r="B58" i="16" s="1"/>
  <c r="B61" i="16" s="1"/>
  <c r="B65" i="16" s="1"/>
  <c r="B69" i="16" s="1"/>
  <c r="B73" i="16" s="1"/>
  <c r="B77" i="16" l="1"/>
  <c r="B78" i="16" s="1"/>
  <c r="B82" i="16" s="1"/>
  <c r="B83" i="16" s="1"/>
  <c r="B87" i="16" s="1"/>
  <c r="B93" i="16" l="1"/>
  <c r="B97" i="16" s="1"/>
  <c r="B101" i="16" s="1"/>
  <c r="B105" i="16" s="1"/>
  <c r="B109" i="16" s="1"/>
  <c r="B114" i="16" s="1"/>
  <c r="B122" i="16" l="1"/>
  <c r="P267" i="13" l="1"/>
  <c r="N300" i="4" l="1"/>
  <c r="N308" i="4" s="1"/>
  <c r="O300" i="4" l="1"/>
  <c r="O308" i="4" s="1"/>
  <c r="A24" i="13" l="1"/>
  <c r="A25" i="13" s="1"/>
  <c r="A29" i="13" s="1"/>
  <c r="A30" i="13" l="1"/>
  <c r="A31" i="13" s="1"/>
  <c r="A32" i="13" s="1"/>
  <c r="A33" i="13" s="1"/>
  <c r="A34" i="13" s="1"/>
  <c r="A38" i="13" s="1"/>
  <c r="A39" i="13" l="1"/>
  <c r="A40" i="13" s="1"/>
  <c r="A41" i="13" s="1"/>
  <c r="A42" i="13" s="1"/>
  <c r="A43" i="13" s="1"/>
  <c r="A44" i="13" s="1"/>
  <c r="A48" i="13" s="1"/>
  <c r="A51" i="13" l="1"/>
  <c r="A52" i="13" s="1"/>
  <c r="A56" i="13" s="1"/>
  <c r="L78" i="16" l="1"/>
  <c r="L79" i="16" s="1"/>
  <c r="J79" i="16"/>
  <c r="A20" i="4" l="1"/>
  <c r="A21" i="4" l="1"/>
  <c r="A22" i="4" s="1"/>
  <c r="A23" i="4" s="1"/>
  <c r="A24" i="4" s="1"/>
  <c r="J84" i="16"/>
  <c r="K83" i="16"/>
  <c r="K84" i="16" s="1"/>
  <c r="A28" i="4" l="1"/>
  <c r="A32" i="4" s="1"/>
  <c r="A36" i="4" s="1"/>
  <c r="L83" i="16"/>
  <c r="L84" i="16" s="1"/>
  <c r="A37" i="4" l="1"/>
  <c r="A38" i="4" s="1"/>
  <c r="A39" i="4" s="1"/>
  <c r="A42" i="4" s="1"/>
  <c r="K115" i="16"/>
  <c r="J115" i="16"/>
  <c r="L115" i="16" l="1"/>
  <c r="A43" i="4" l="1"/>
  <c r="A44" i="4" s="1"/>
  <c r="A45" i="4" s="1"/>
  <c r="A46" i="4" s="1"/>
  <c r="A50" i="4" s="1"/>
  <c r="A54" i="4" s="1"/>
  <c r="A58" i="4" s="1"/>
  <c r="A59" i="4" s="1"/>
  <c r="A60" i="4" l="1"/>
  <c r="A64" i="4" l="1"/>
  <c r="A65" i="4" s="1"/>
  <c r="A66" i="4" l="1"/>
  <c r="A69" i="4" s="1"/>
  <c r="A70" i="4" s="1"/>
  <c r="A74" i="4" s="1"/>
  <c r="A75" i="4" s="1"/>
  <c r="A76" i="4" s="1"/>
  <c r="A77" i="4" l="1"/>
  <c r="A81" i="4" s="1"/>
  <c r="A82" i="4" s="1"/>
  <c r="A83" i="4" s="1"/>
  <c r="A87" i="4" s="1"/>
  <c r="A88" i="4" s="1"/>
  <c r="A89" i="4" s="1"/>
  <c r="A93" i="4" l="1"/>
  <c r="A97" i="4" s="1"/>
  <c r="A98" i="4" l="1"/>
  <c r="A99" i="4" s="1"/>
  <c r="A100" i="4" s="1"/>
  <c r="A101" i="4" l="1"/>
  <c r="A105" i="4" s="1"/>
  <c r="A106" i="4" s="1"/>
  <c r="A110" i="4" s="1"/>
  <c r="A111" i="4" s="1"/>
  <c r="A112" i="4" s="1"/>
  <c r="A113" i="4" l="1"/>
  <c r="A116" i="4" s="1"/>
  <c r="A117" i="4" s="1"/>
  <c r="A118" i="4" s="1"/>
  <c r="A119" i="4" s="1"/>
  <c r="A123" i="4" s="1"/>
  <c r="A124" i="4" l="1"/>
  <c r="A125" i="4" s="1"/>
  <c r="A126" i="4" s="1"/>
  <c r="A130" i="4" l="1"/>
  <c r="A131" i="4" s="1"/>
  <c r="A135" i="4" s="1"/>
  <c r="A136" i="4" s="1"/>
  <c r="A137" i="4" s="1"/>
  <c r="A138" i="4" s="1"/>
  <c r="A142" i="4" s="1"/>
  <c r="A143" i="4" s="1"/>
  <c r="A147" i="4" l="1"/>
  <c r="A151" i="4" s="1"/>
  <c r="A156" i="4" s="1"/>
  <c r="A160" i="4" l="1"/>
  <c r="A163" i="4" s="1"/>
  <c r="A167" i="4" s="1"/>
  <c r="A168" i="4" s="1"/>
  <c r="A169" i="4" s="1"/>
  <c r="A170" i="4" s="1"/>
  <c r="A171" i="4" s="1"/>
  <c r="A175" i="4" l="1"/>
  <c r="A176" i="4" s="1"/>
  <c r="A177" i="4" s="1"/>
  <c r="A178" i="4" s="1"/>
  <c r="A182" i="4" s="1"/>
  <c r="A186" i="4" s="1"/>
  <c r="A187" i="4" s="1"/>
  <c r="A190" i="4" s="1"/>
  <c r="A191" i="4" s="1"/>
  <c r="A192" i="4" s="1"/>
  <c r="A196" i="4" s="1"/>
  <c r="A200" i="4" s="1"/>
  <c r="A204" i="4" s="1"/>
  <c r="A205" i="4" s="1"/>
  <c r="A214" i="4"/>
  <c r="A218" i="4" s="1"/>
  <c r="A219" i="4" s="1"/>
  <c r="A220" i="4" s="1"/>
  <c r="A225" i="4" s="1"/>
  <c r="A229" i="4" s="1"/>
  <c r="A233" i="4" s="1"/>
  <c r="A234" i="4" s="1"/>
  <c r="A238" i="4" s="1"/>
  <c r="A239" i="4" s="1"/>
  <c r="A242" i="4" s="1"/>
  <c r="N110" i="4"/>
  <c r="A243" i="4" l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N111" i="4"/>
  <c r="O111" i="4" s="1"/>
  <c r="L114" i="4"/>
  <c r="L347" i="4" s="1"/>
  <c r="O110" i="4"/>
  <c r="N114" i="4" l="1"/>
  <c r="N347" i="4" s="1"/>
  <c r="O114" i="4"/>
  <c r="O347" i="4" s="1"/>
  <c r="K119" i="16"/>
  <c r="K125" i="16" s="1"/>
  <c r="J119" i="16"/>
  <c r="J125" i="16" s="1"/>
  <c r="L118" i="16" l="1"/>
  <c r="L119" i="16" s="1"/>
  <c r="A277" i="4" l="1"/>
  <c r="A311" i="4" l="1"/>
  <c r="N92" i="13"/>
  <c r="A315" i="4" l="1"/>
  <c r="A316" i="4" s="1"/>
  <c r="A320" i="4" s="1"/>
  <c r="A324" i="4" s="1"/>
  <c r="A325" i="4" s="1"/>
  <c r="A326" i="4" s="1"/>
  <c r="A331" i="4" s="1"/>
  <c r="Q91" i="13"/>
  <c r="Q92" i="13" s="1"/>
  <c r="A57" i="13"/>
  <c r="A61" i="13" s="1"/>
  <c r="A64" i="13" s="1"/>
  <c r="A65" i="13" s="1"/>
  <c r="A69" i="13" s="1"/>
  <c r="A73" i="13" s="1"/>
  <c r="A77" i="13" s="1"/>
  <c r="A78" i="13" s="1"/>
  <c r="A79" i="13" s="1"/>
  <c r="A80" i="13" s="1"/>
  <c r="A84" i="13" s="1"/>
  <c r="A85" i="13" s="1"/>
  <c r="A86" i="13" s="1"/>
  <c r="A90" i="13" s="1"/>
  <c r="A91" i="13" s="1"/>
  <c r="A94" i="13" s="1"/>
  <c r="A95" i="13" s="1"/>
  <c r="A99" i="13" s="1"/>
  <c r="A103" i="13" s="1"/>
  <c r="A104" i="13" s="1"/>
  <c r="A105" i="13" s="1"/>
  <c r="A106" i="13" s="1"/>
  <c r="A109" i="13" s="1"/>
  <c r="A110" i="13" l="1"/>
  <c r="A113" i="13" s="1"/>
  <c r="A117" i="13" s="1"/>
  <c r="A332" i="4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R91" i="13"/>
  <c r="R92" i="13" s="1"/>
  <c r="A118" i="13" l="1"/>
  <c r="A121" i="13" s="1"/>
  <c r="A125" i="13" s="1"/>
  <c r="A126" i="13" s="1"/>
  <c r="A127" i="13" s="1"/>
  <c r="A128" i="13" s="1"/>
  <c r="A133" i="13" s="1"/>
  <c r="A134" i="13" s="1"/>
  <c r="A138" i="13" s="1"/>
  <c r="A139" i="13" s="1"/>
  <c r="A143" i="13" s="1"/>
  <c r="A144" i="13" s="1"/>
  <c r="A147" i="13" s="1"/>
  <c r="A148" i="13" s="1"/>
  <c r="A152" i="13" s="1"/>
  <c r="A153" i="13" s="1"/>
  <c r="A154" i="13" s="1"/>
  <c r="A158" i="13" l="1"/>
  <c r="A162" i="13" s="1"/>
  <c r="A163" i="13" s="1"/>
  <c r="A167" i="13" s="1"/>
  <c r="A168" i="13" s="1"/>
  <c r="A172" i="13" s="1"/>
  <c r="A176" i="13" s="1"/>
  <c r="A177" i="13" s="1"/>
  <c r="A178" i="13" s="1"/>
  <c r="A179" i="13" s="1"/>
  <c r="A180" i="13" s="1"/>
  <c r="A185" i="13" l="1"/>
  <c r="A189" i="13" s="1"/>
  <c r="A181" i="13"/>
  <c r="A228" i="13"/>
  <c r="A190" i="13" l="1"/>
  <c r="A236" i="13"/>
  <c r="A240" i="13" s="1"/>
  <c r="A243" i="13" s="1"/>
  <c r="A191" i="13" l="1"/>
  <c r="A195" i="13" s="1"/>
  <c r="A196" i="13" s="1"/>
  <c r="A200" i="13" s="1"/>
  <c r="A201" i="13" s="1"/>
  <c r="A205" i="13" s="1"/>
  <c r="A206" i="13" s="1"/>
  <c r="A207" i="13" s="1"/>
  <c r="A208" i="13" s="1"/>
  <c r="A209" i="13" s="1"/>
  <c r="A210" i="13" s="1"/>
  <c r="A211" i="13" s="1"/>
  <c r="A215" i="13" s="1"/>
  <c r="A244" i="13"/>
  <c r="A247" i="13" s="1"/>
  <c r="A248" i="13" s="1"/>
  <c r="A252" i="13" s="1"/>
  <c r="A253" i="13" s="1"/>
  <c r="A257" i="13" s="1"/>
  <c r="A261" i="13" s="1"/>
  <c r="A265" i="13" s="1"/>
  <c r="A266" i="13" s="1"/>
  <c r="A270" i="13" s="1"/>
  <c r="A216" i="13" l="1"/>
  <c r="A217" i="13" s="1"/>
  <c r="A221" i="13" s="1"/>
  <c r="A222" i="13" s="1"/>
  <c r="N147" i="13"/>
  <c r="N149" i="13" s="1"/>
  <c r="Q147" i="13" l="1"/>
  <c r="Q149" i="13" l="1"/>
  <c r="R147" i="13"/>
  <c r="R149" i="13" s="1"/>
  <c r="R273" i="13" s="1"/>
  <c r="I273" i="13"/>
  <c r="P273" i="13"/>
  <c r="M273" i="13"/>
  <c r="N273" i="13"/>
  <c r="J273" i="13"/>
  <c r="Q273" i="13"/>
  <c r="K273" i="13"/>
  <c r="L273" i="13"/>
  <c r="H273" i="13"/>
</calcChain>
</file>

<file path=xl/sharedStrings.xml><?xml version="1.0" encoding="utf-8"?>
<sst xmlns="http://schemas.openxmlformats.org/spreadsheetml/2006/main" count="2052" uniqueCount="660">
  <si>
    <t>NO.</t>
  </si>
  <si>
    <t>AFP (2.87)</t>
  </si>
  <si>
    <t>SFS ( 3.04)</t>
  </si>
  <si>
    <t xml:space="preserve">Total de Descuentos </t>
  </si>
  <si>
    <t xml:space="preserve">ALTAGRACIA JIMENEZ DE CASIMIRO </t>
  </si>
  <si>
    <t xml:space="preserve">ARELIS JOSELIN FIGUEREO HERRERA </t>
  </si>
  <si>
    <t xml:space="preserve">DISEÑADOR GRAFICO </t>
  </si>
  <si>
    <t xml:space="preserve">SORIBEL MEDINA LAGRANGE </t>
  </si>
  <si>
    <t>KARLA MARIEL UREÑA GIL</t>
  </si>
  <si>
    <t>GELLMNS KEEMSIOLY GIL BISONO</t>
  </si>
  <si>
    <t xml:space="preserve">LEONARDO ANTONIO NUÑEZ FUNG </t>
  </si>
  <si>
    <t>SOPORTE TECNICO INFORMATICO</t>
  </si>
  <si>
    <t xml:space="preserve">DEPARTAMENTO ADMINISTRATIVO Y FINANCIERO </t>
  </si>
  <si>
    <t xml:space="preserve">AUXILIAR ADMINISTRATIVO </t>
  </si>
  <si>
    <t xml:space="preserve">MEIBY ESPERANZA GUILLEN BELTRE </t>
  </si>
  <si>
    <t xml:space="preserve">CRECENCIA BELLIARD MELENCIANO </t>
  </si>
  <si>
    <t>AUXILIAR ADMINISTRATIVO I</t>
  </si>
  <si>
    <t xml:space="preserve">ANTONIA ROA TAPIA </t>
  </si>
  <si>
    <t xml:space="preserve">TERESA HIDALGO DE PEQUERO </t>
  </si>
  <si>
    <t xml:space="preserve">DOMINGO ANTONIO RAMOS </t>
  </si>
  <si>
    <t>LIGIA SOBANI LUNA RAMIREZ</t>
  </si>
  <si>
    <t xml:space="preserve">YOSSE CASTILLO MINYETTY </t>
  </si>
  <si>
    <t xml:space="preserve">ROSAGNA ALTAGRACIA ADAMES CUELLO </t>
  </si>
  <si>
    <t>CONSERJE</t>
  </si>
  <si>
    <t xml:space="preserve">ISIDRO FRUCTUOSO FROMETA </t>
  </si>
  <si>
    <t xml:space="preserve">BELKIS LUISA FIGUEROA BATISTA </t>
  </si>
  <si>
    <t xml:space="preserve">CHOFER II </t>
  </si>
  <si>
    <t xml:space="preserve">FRANCISCO ALBERTO BLANCO RAMOS </t>
  </si>
  <si>
    <t xml:space="preserve">YSAIAS MORILLO FERREIRA </t>
  </si>
  <si>
    <t xml:space="preserve">DELKIS ROSA TORIBIO </t>
  </si>
  <si>
    <t xml:space="preserve">NORMA MIGUELINA ESTRELLA PAULINO </t>
  </si>
  <si>
    <t xml:space="preserve">ROBERTO SUERO </t>
  </si>
  <si>
    <t>ROSA YANIRIS MATEO MOJICA</t>
  </si>
  <si>
    <t xml:space="preserve">NIURKA ALTAGRACIA TEJADA </t>
  </si>
  <si>
    <t xml:space="preserve">YDALISE MARMOLEJOS POLANCO </t>
  </si>
  <si>
    <t xml:space="preserve">JENNIFER DEL PILAR OVALLE SANTANA </t>
  </si>
  <si>
    <t xml:space="preserve">ANALISTA SECTORIAL DE PRESUPUESTO </t>
  </si>
  <si>
    <t xml:space="preserve">GILMA ALTAGRACIA OGANDO PAULINO </t>
  </si>
  <si>
    <t xml:space="preserve">ELIZABETH SOTO CORTORREAL </t>
  </si>
  <si>
    <t xml:space="preserve">ELISA MERCEDES DURAN JIMENEZ </t>
  </si>
  <si>
    <t xml:space="preserve">MERLIN REYES </t>
  </si>
  <si>
    <t xml:space="preserve">JHANNET TAVERAS BICHARA </t>
  </si>
  <si>
    <t xml:space="preserve">VANESSA YANET ALMONTE SANTOS </t>
  </si>
  <si>
    <t xml:space="preserve">ANDREA DOLORES CANDELARIO COLLADO </t>
  </si>
  <si>
    <t xml:space="preserve">ANGELICA ALMENGO ALMENGOT </t>
  </si>
  <si>
    <t xml:space="preserve">JOSE ISMAEL PEÑA PERALTA </t>
  </si>
  <si>
    <t xml:space="preserve">PATRICIA ACEVEDO ROSARIO </t>
  </si>
  <si>
    <t xml:space="preserve">LIDIA ALTAGRACIA CASTILLO ROJAS </t>
  </si>
  <si>
    <t xml:space="preserve">DANIEL ALBERTO BATISTA </t>
  </si>
  <si>
    <t xml:space="preserve">SAILEN QUIROZ </t>
  </si>
  <si>
    <t xml:space="preserve">ANA LUCIA BURGOS </t>
  </si>
  <si>
    <t>SECRETARIA</t>
  </si>
  <si>
    <t>MILDRED OVALLE RIVERA</t>
  </si>
  <si>
    <t xml:space="preserve">WINDER REYES ARIAS </t>
  </si>
  <si>
    <t xml:space="preserve">MILAGROS PANIAGUA </t>
  </si>
  <si>
    <t xml:space="preserve">DELIO OMAR CESPEDES MEDINA </t>
  </si>
  <si>
    <t xml:space="preserve">JAQUELINE BELLO PUJOLS </t>
  </si>
  <si>
    <t>IRANNA LARITZA BRITO TAVAREZ</t>
  </si>
  <si>
    <t xml:space="preserve">ALBERTO VILLANUEVA POLANCO </t>
  </si>
  <si>
    <t>SHEILA CAMILA TAVAREZ ESCAÑO</t>
  </si>
  <si>
    <t xml:space="preserve">LAURA VIRGINIA DE LA CRUZ DUVERGE </t>
  </si>
  <si>
    <t xml:space="preserve">PASCUAL ALBERTO DE LOS SANTOS </t>
  </si>
  <si>
    <t xml:space="preserve">RAYNEL BRESNE SORIANO </t>
  </si>
  <si>
    <t>DESARROLLADOR DE SISTEMAS</t>
  </si>
  <si>
    <t xml:space="preserve">CARLOS PICHARDO </t>
  </si>
  <si>
    <t xml:space="preserve">DEPARTAMENTO DE COMUNICACIONES </t>
  </si>
  <si>
    <t xml:space="preserve">FRANCIS TOMAS PAULA LUNA </t>
  </si>
  <si>
    <t xml:space="preserve">RECEPCIONISTA </t>
  </si>
  <si>
    <t>DAMARIS SOLINDA MEDINA RAMIREZ</t>
  </si>
  <si>
    <t xml:space="preserve">DEPARTAMENTO DE  GESTIÓN FINANCIERA DE FORMULACIÓN Y EJECUCIÓN </t>
  </si>
  <si>
    <t xml:space="preserve">DIRECCIÓN DE CALIDAD Y EVALUACIÓN DE LA GESTIÓN PRESUPUESTARIA </t>
  </si>
  <si>
    <t>DEPARTAMENTO EVALUACIÓN DEL DESEMPEÑO PRESUPUESTARIO</t>
  </si>
  <si>
    <t>ANALISTA DE DESARROLLO INSTITUCIONAL II</t>
  </si>
  <si>
    <t xml:space="preserve">SECRETARIA </t>
  </si>
  <si>
    <t xml:space="preserve">ADMINISTRADOR DE BASE DE DATOS </t>
  </si>
  <si>
    <t xml:space="preserve">ADMINISTRADOR DE SISTEMAS </t>
  </si>
  <si>
    <t xml:space="preserve">CAMARERA </t>
  </si>
  <si>
    <t xml:space="preserve">MENSAJERO INTERNO </t>
  </si>
  <si>
    <t xml:space="preserve">ANALISTA DE SISTEMAS </t>
  </si>
  <si>
    <t xml:space="preserve">EDWIN ARMANDO COSS TERRERO </t>
  </si>
  <si>
    <t xml:space="preserve">JOHANNA FRANCHESCA SANTOS SANTOS </t>
  </si>
  <si>
    <t xml:space="preserve">JULISSA CASTILLO DE PERALTA </t>
  </si>
  <si>
    <t>COORDINADORA DE DESPACHO</t>
  </si>
  <si>
    <t xml:space="preserve">CONTADOR </t>
  </si>
  <si>
    <t xml:space="preserve">DIRECTORIA DE PRESUPUESTOS DE SERVICIOS GENERALES </t>
  </si>
  <si>
    <t>ENCARGADA</t>
  </si>
  <si>
    <t xml:space="preserve">ANALISTA </t>
  </si>
  <si>
    <t xml:space="preserve">GLENNY CONCEPCIÓN CRUZ </t>
  </si>
  <si>
    <t xml:space="preserve">ANALISTA DE NÓMINA </t>
  </si>
  <si>
    <t>ANALISTA DE PLANIFICACIÓN I</t>
  </si>
  <si>
    <t xml:space="preserve">Tipo Empleado </t>
  </si>
  <si>
    <t>Impuesto Sobre Renta ISR</t>
  </si>
  <si>
    <t>Sueldo Neto</t>
  </si>
  <si>
    <t xml:space="preserve">Otros Descuentos </t>
  </si>
  <si>
    <t>F. Inicio</t>
  </si>
  <si>
    <t>F. Final</t>
  </si>
  <si>
    <t>Seguridad Social</t>
  </si>
  <si>
    <t xml:space="preserve">FIJO </t>
  </si>
  <si>
    <t xml:space="preserve">CARRERA ADMINISTRATIVA </t>
  </si>
  <si>
    <t>Ingreso Bruto</t>
  </si>
  <si>
    <t xml:space="preserve">SUBTOTAL </t>
  </si>
  <si>
    <t xml:space="preserve">Lugar de Trabajo </t>
  </si>
  <si>
    <t xml:space="preserve">Funciones </t>
  </si>
  <si>
    <t>OMAR ENRIQUE POLANCO MOLINA</t>
  </si>
  <si>
    <t>ENCARGADO DEPARTAMENTO JURÍDICO</t>
  </si>
  <si>
    <t>EDDY ROBERT JONES LUCIANO</t>
  </si>
  <si>
    <t>TÉCNICO ADMINISTRATIVO</t>
  </si>
  <si>
    <t>RAFAEL ONERIS NOVA</t>
  </si>
  <si>
    <t>NELSON ANTONIO TODD KERY</t>
  </si>
  <si>
    <t>SUPERVISOR DE TRANSPORTACIÓN</t>
  </si>
  <si>
    <t>CHOFER II</t>
  </si>
  <si>
    <t>YOHNNY MANUEL CIPRIAN CASTILLO</t>
  </si>
  <si>
    <t xml:space="preserve">ESTHER YINET LACHAPEL CRUZ </t>
  </si>
  <si>
    <t>JENNY DEL CARMEN BATISTA FLORES</t>
  </si>
  <si>
    <t xml:space="preserve">BIANCA CAROLINA ALCANTARA YNOA </t>
  </si>
  <si>
    <t xml:space="preserve">CHOFER </t>
  </si>
  <si>
    <t>ANALISTA DE GESTIÓN FINANCIERA Y EJECUCIÓN PRESUPUESTARIA I</t>
  </si>
  <si>
    <t xml:space="preserve">AYUDANTE MANTENIMIENTO </t>
  </si>
  <si>
    <t>ALICIA FELIZ OGANDO</t>
  </si>
  <si>
    <t>ANALISTA SECTORIAL DE PRESUPUESTO</t>
  </si>
  <si>
    <t>WENDY PATRICIA MONTERO FORTUNA </t>
  </si>
  <si>
    <t>VLADIMIR RICHARD TEJEDA VILLAVICENCIO</t>
  </si>
  <si>
    <t>FAUSTO MIGUEL ESPAILLAT TAVAREZ</t>
  </si>
  <si>
    <t>DIRECCIÓN DE SERVICIOS PRESUPUESTARIOS</t>
  </si>
  <si>
    <t>DIVISIÓN DE MINISTERIOS DE EDUCACIÓN Y EDUCACIÓN SUPERIOR, CIENCIA Y TECNOLOGÍA</t>
  </si>
  <si>
    <t>DIVISIÓN DE MINISTERIOS DE SALUD PÚBLICA Y ASISTENCIA SOCIAL Y TRABAJO</t>
  </si>
  <si>
    <t>DIVISIÓN DE MINISTERIOS DE LA MUJER, JUVENTUD, CULTURA, DEPORTES Y RECREACIÓN</t>
  </si>
  <si>
    <t>DIVISIÓN DE MINISTERIOS DE MEDIO AMBIENTE, AGRICULTURA Y ENERGÍA Y MINAS</t>
  </si>
  <si>
    <t>DIVISIÓN DE MINISTERIOS DE OBRAS PÚBLICAS Y VIVIENDA</t>
  </si>
  <si>
    <t>DEPARTAMENTO DE SERVICIOS GENERALES</t>
  </si>
  <si>
    <t>DIVISIÓN DE PRESIDENCIA DE LA REPÚBLICA Y MINISTERIO DE RELACIONES EXTERIORES</t>
  </si>
  <si>
    <t>DIVISIÓN DE MINISTERIOS DE HACIENDA, ADMINISTRACIÓN PÚBLICA, ECONOMÍA, PLANIFICACIÓN Y DESARROLLO</t>
  </si>
  <si>
    <t xml:space="preserve">WENDY YOCASTA MERCEDES PEGUERO </t>
  </si>
  <si>
    <t>DIVISIÓN DE MINISTERIO DE DEFENSA</t>
  </si>
  <si>
    <t>DIVISIÓN DE PROCURADURÍA GENERAL DE LA REPÚBLICA Y MINISTERIO DE INTERIOR Y POLICÍA</t>
  </si>
  <si>
    <t>DEPARTAMENTO DE SERVICIOS A LAS EMPRESAS PÚBLICAS</t>
  </si>
  <si>
    <t>DIVISIÓN DE EMPRESAS PÚBLICAS FINANCIERAS</t>
  </si>
  <si>
    <t>DIVISIÓN DE EMPRESAS PÚBLICAS NO FINANCIERAS</t>
  </si>
  <si>
    <t xml:space="preserve">DEPARTAMENTO DE  DE SERVICIOS A LOS GOBIERNOS LOCALES </t>
  </si>
  <si>
    <t>DIVISIÓN DE REGIÓN CIBAO NOROESTE</t>
  </si>
  <si>
    <t>DIVISIÓN DE REGIÓN CIBAO NORDESTE</t>
  </si>
  <si>
    <t xml:space="preserve">DIVISIÓN DE REGIÓN SUR CENTRAL </t>
  </si>
  <si>
    <t>DIVISIÓN DE REGIÓN ESTE</t>
  </si>
  <si>
    <t xml:space="preserve">DIVISIÓN DE LA REGION SUROESTE </t>
  </si>
  <si>
    <t>DEPARTAMENTO DE SERVICIOS A PODERES Y ÓRGANOS CONSTITUCIONALES</t>
  </si>
  <si>
    <t>DIVISIÓN DE JUNTA CENTRAL ELECTORAL, CÁMARA DE CUENTAS, TRIBUNAL CONSTITUCIONAL, DEFENSOR DEL PUEBLO Y TRIBUNAL SUPERIOR ELECTORAL</t>
  </si>
  <si>
    <t>DIVISIÓN DE COMUNICACIÓN INSTITUCIONAL</t>
  </si>
  <si>
    <t>DIVISIÓN DE PRODUCCIÓN GRÁFICA Y DIGITAL</t>
  </si>
  <si>
    <t>SECCIÓN DE DOCUMENTACIÓN</t>
  </si>
  <si>
    <t xml:space="preserve">DEPARTAMENTO DE SERVICIOS SOCIALES </t>
  </si>
  <si>
    <t>ENCARGADA DIVISIÓN DE MINISTERIOS DE SALUD PÚBLICA Y ASISTENCIA SOCIAL Y TRABAJO</t>
  </si>
  <si>
    <t>ENCARGADA DEPARTAMENTO DE SERVICIOS ECONÓMICOS</t>
  </si>
  <si>
    <t xml:space="preserve">JULIANA GUILLERMINA MORERA VILLALONA </t>
  </si>
  <si>
    <t xml:space="preserve">ODILYS YANIRIS HIDALGO SANTANA </t>
  </si>
  <si>
    <t>EGLIS ESTHER CEBALLOS MARTICH</t>
  </si>
  <si>
    <t>DIVISIÓN  DE MINISTERIOS DE TURISMO E INDUSTRIA, COMERCIO Y MIPYMES</t>
  </si>
  <si>
    <t>ENCARGADA DEPARTAMENTO DE SERVICIOS GENERALES</t>
  </si>
  <si>
    <t>ENCARGADA DIVISIÓN DE MINISTERIO DE DEFENSA</t>
  </si>
  <si>
    <t>ENCARGADA DEPARTAMENTO DE SERVICIOS A LAS EMPRESAS PÚBLICAS</t>
  </si>
  <si>
    <t xml:space="preserve">FRANCIS ERNESTO JUSTO HORTON </t>
  </si>
  <si>
    <t xml:space="preserve">ROBERTO LEANDRO LAMARCHE LEONARDO </t>
  </si>
  <si>
    <t xml:space="preserve">ENCARGADA </t>
  </si>
  <si>
    <t xml:space="preserve">LUZ MINERVA RAMIREZ MONTAÑO </t>
  </si>
  <si>
    <t xml:space="preserve">DIVISIÓN DE PRESIDENCIA DE LA REPÚBLICA Y MINISTERIO DE RELACIONES EXTERIORES </t>
  </si>
  <si>
    <t xml:space="preserve">WASCAR RHADAMES VENTURA GUEVARA </t>
  </si>
  <si>
    <t>REALIZADOR AUDIOVISUAL</t>
  </si>
  <si>
    <t>FIJO</t>
  </si>
  <si>
    <t>LUIS MIGUEL HERRERA LAUREANO</t>
  </si>
  <si>
    <t xml:space="preserve">MENSAJERO EXTERNO </t>
  </si>
  <si>
    <t>ENCARGADA DEPARTAMENTO DE SERVICIOS A PODERES Y ÓRGANOS CONSTITUCIONALES</t>
  </si>
  <si>
    <t>ENCARGADO DIVISIÓN DE REGIÓN ESTE</t>
  </si>
  <si>
    <t>LAURA ROSA MORILLO SOCIAS</t>
  </si>
  <si>
    <t>OFICINA DE LIBRE ACCESO A LA INFORMACIÓN</t>
  </si>
  <si>
    <t>DIVISIÓN DE BIENESTAR LABORAL</t>
  </si>
  <si>
    <t>SECCIÓN DE PRESUPUESTO Y TESORERÍA</t>
  </si>
  <si>
    <t>SECCIÓN DE ACTIVOS FIJOS Y CONTABILIDAD</t>
  </si>
  <si>
    <t>FERNANDO ALCÁNTARA CASTILLO</t>
  </si>
  <si>
    <t xml:space="preserve">SEGURIDAD </t>
  </si>
  <si>
    <t>SANTA MARLENIS TIBURCIO</t>
  </si>
  <si>
    <t>NOHELIA ANAIS PÉREZ BATISTA</t>
  </si>
  <si>
    <t xml:space="preserve">NOMBRAMIENTO TEMPORAL </t>
  </si>
  <si>
    <t>BÉRGICA CORNELIO MENDOZA</t>
  </si>
  <si>
    <t>SHAMIR HASSAN BILLILO</t>
  </si>
  <si>
    <t>DIVISIÓN DE ORGANIZACIÓN DEL TRABAJO Y COMPENSACIÓN</t>
  </si>
  <si>
    <t>ENCARGADA DIVISIÓN DE BIENESTAR LABORAL</t>
  </si>
  <si>
    <t>PAOLA IDALIA CHALJUB THEN</t>
  </si>
  <si>
    <t>MANEJADOR DE WEB Y REDES SOCIALES</t>
  </si>
  <si>
    <t>PABLO JOSÉ PÁEZ SOLANO</t>
  </si>
  <si>
    <t>DIVISIÓN DE SEGURIDAD Y MONITOREO TIC</t>
  </si>
  <si>
    <t>VICTOR ENMANUEL VARGAS ROSARIO</t>
  </si>
  <si>
    <t>ANALISTA COMPRAS Y CONTRATACIONES</t>
  </si>
  <si>
    <t>SECCIÓN DE CONTABILIDAD Y ACTIVOS FIJOS</t>
  </si>
  <si>
    <t xml:space="preserve">ANALISTA DE SERVICIOS Y BENEFICIOS </t>
  </si>
  <si>
    <t xml:space="preserve">ESTATUTO SIMPLIFICADO </t>
  </si>
  <si>
    <t>DIVISIÓN DE ADMINISTRACIÓN DE SERVICIOS TIC</t>
  </si>
  <si>
    <t>DOMINGO DE LOS SANTOS REYES</t>
  </si>
  <si>
    <t xml:space="preserve">SUBDIRECTOR GENERAL </t>
  </si>
  <si>
    <t>MARGARET YOVEIRI GARCÍA TAVERAZ</t>
  </si>
  <si>
    <t xml:space="preserve">SONIA ORTIZ REYES </t>
  </si>
  <si>
    <t xml:space="preserve">MARIANELA MONTILLA </t>
  </si>
  <si>
    <t>IVAN JOSÉ RAMIREZ VARGAS</t>
  </si>
  <si>
    <t>DIRECCIÓN GENERAL</t>
  </si>
  <si>
    <t>ISABEL MARTÍNEZ ALONZO</t>
  </si>
  <si>
    <t xml:space="preserve">MARIEL ALTAGRACIA MUÑOZ ÁLVAREZ </t>
  </si>
  <si>
    <t>ROSA IRIS PICHARDO PÉREZ</t>
  </si>
  <si>
    <t xml:space="preserve">TERESA MILAGROS DE LEÓN PÉREZ </t>
  </si>
  <si>
    <t xml:space="preserve">TAMAR ESTHER PEÑA RODRÍGUEZ </t>
  </si>
  <si>
    <t xml:space="preserve">DIRECCIÓN DE PRESUPUESTOS DE SERVICIOS ECONÓMICOS </t>
  </si>
  <si>
    <t xml:space="preserve">ANA MARÍA BIERD DE JESÚS </t>
  </si>
  <si>
    <t xml:space="preserve">PATRICIA ALTAGRACIA FERNÁNDEZ DEL ROSARIO  </t>
  </si>
  <si>
    <t xml:space="preserve">MARCIA SUAREZ LÓPEZ </t>
  </si>
  <si>
    <t>ENCARGADA DIVISIÓN DE MINISTERIOS DE TURISMO E INDUSTRIA, COMERCIO Y MIPYMES</t>
  </si>
  <si>
    <t xml:space="preserve">YADEL CORNELIA ALICIA HERRERA DE JESÚS </t>
  </si>
  <si>
    <t>BELKIS ADALGISA MAÑÓN HIDALGO</t>
  </si>
  <si>
    <t xml:space="preserve">MARÍA VICTORIA ORTIZ SÁNCHEZ </t>
  </si>
  <si>
    <t>PATRICIA CAROLINA PERDOMO GARCÍA</t>
  </si>
  <si>
    <t xml:space="preserve">JOSEFINA GONZÁLEZ SILFA </t>
  </si>
  <si>
    <t xml:space="preserve">SANTA ROSA BAEZ RODRÍGUEZ </t>
  </si>
  <si>
    <t xml:space="preserve">CESAR FÉLIX BUENO RODRÍGUEZ </t>
  </si>
  <si>
    <t xml:space="preserve">PATRIA SENCIÓN SANTANA </t>
  </si>
  <si>
    <t>MARÍA SOLEDAD MIRANDA AHUMADA</t>
  </si>
  <si>
    <t>ANA MIGUELINA ALTAGRACIA TERRERO DE LEÓN</t>
  </si>
  <si>
    <t xml:space="preserve">YURIDYS ALTAGRACIA RODRÍGUEZ DILONE </t>
  </si>
  <si>
    <t>ENCARGADO DIVISIÓN DE REGIÓN CIBAO NORDESTE</t>
  </si>
  <si>
    <t xml:space="preserve">MARÍA MAGDALENA CABRERA FRANCO </t>
  </si>
  <si>
    <t xml:space="preserve">NIVIS LETICIA LEÓN VILLEGAS </t>
  </si>
  <si>
    <t>LUIS LEONARDO AMIAMA GÓMEZ</t>
  </si>
  <si>
    <t xml:space="preserve">ALEJANDRINA RODRÍGUEZ DUVAL </t>
  </si>
  <si>
    <t xml:space="preserve">LAURA CID SÁNCHEZ </t>
  </si>
  <si>
    <t>ARNOLD FRANCISCO ALMÁNZAR JOSEPH</t>
  </si>
  <si>
    <t xml:space="preserve">MANUEL DE JESÚS BURGOS </t>
  </si>
  <si>
    <t xml:space="preserve">ENCARGADO DIVISIÓN DE LA REGIÓN SUROESTE  </t>
  </si>
  <si>
    <t xml:space="preserve">ERELY MARTÍNEZ PÉREZ </t>
  </si>
  <si>
    <t xml:space="preserve">SAGRARIO ELENA DOMÍNGUEZ DOMÍNGUEZ </t>
  </si>
  <si>
    <t>ÁMBAR CHANEL PERALTA GEORGE</t>
  </si>
  <si>
    <t xml:space="preserve">FÉLIX ANTONIO FABIÁN MERCEDES </t>
  </si>
  <si>
    <t>KATHERINE MERCEDES PEGUERO FERMÍN</t>
  </si>
  <si>
    <t>DANIA ALCANTARA GUTIÉRREZ</t>
  </si>
  <si>
    <t xml:space="preserve">BENNY GALÁN RODRÍGUEZ </t>
  </si>
  <si>
    <t xml:space="preserve">ANALISTA DE NORMAS Y METODOLOGÍAS PRESUPUESTARIAS </t>
  </si>
  <si>
    <t>SAMANDA MARIELY VELÁSQUEZ DÍAZ</t>
  </si>
  <si>
    <t>ANALISTA DE EVALUACIÓN DEL DESEMPEÑO DE GESTIÓN PRESUPUESTARIA I</t>
  </si>
  <si>
    <t>BETHANIA DEL CARMEN FERNÁNDEZ PICHARDO</t>
  </si>
  <si>
    <t xml:space="preserve">TÉCNICO DE ACCESO A LA INFORMACIÓN </t>
  </si>
  <si>
    <t>DEPARTAMENTO NORMAS Y METODOLOGÍAS</t>
  </si>
  <si>
    <t>DIRECCIÓN ESTUDIOS ECONÓMICOS Y SEGUIMIENTO FINANCIERO</t>
  </si>
  <si>
    <t>DEPARTAMENTO DE ANÁLISIS Y ESTUDIOS ECONÓMICOS</t>
  </si>
  <si>
    <t>DEPARTAMENTO DE PLANIFICACIÓN Y DESARROLLO</t>
  </si>
  <si>
    <t>DIVISIÓN FORMULACIÓN, MONITOREO Y EVALUACIÓN DE PLANES DE PROGRAMAS Y PROYECTOS</t>
  </si>
  <si>
    <t xml:space="preserve">JESÚS MANUEL PAYANO REYES </t>
  </si>
  <si>
    <t>DIVISIÓN DESARROLLO INSTITUCIONAL</t>
  </si>
  <si>
    <t>DEPARTAMENTO JURÍDICO</t>
  </si>
  <si>
    <t>AWILDA POLANCO HERNÁNDEZ</t>
  </si>
  <si>
    <t>DIVISIÓN DE REGISTRO, CONTROL Y NÓMINA</t>
  </si>
  <si>
    <t>BIENVENIDO DÍAZ COLLADO</t>
  </si>
  <si>
    <t>DEPARTAMENTO TECNOLOGÍA DE LA INFORMACIÓN Y COMUNICACIÓN</t>
  </si>
  <si>
    <t>DIVISIÓN DESARROLLO E IMPLEMENTACIÓN DE SISTEMAS</t>
  </si>
  <si>
    <t>SOPORTE TÉCNICO DE PRUEBA Y DOCUMENTACIÓN</t>
  </si>
  <si>
    <t xml:space="preserve">RAMÓN ANTONIO TEJEDA LUGO </t>
  </si>
  <si>
    <t>DIVISIÓN OPERACIONES TIC</t>
  </si>
  <si>
    <t>DIVISIÓN SERVICIOS GENERALES</t>
  </si>
  <si>
    <t>SECCIÓN MAYORDOMÍA</t>
  </si>
  <si>
    <t>SUPERVISOR DE MAYORDOMÍA</t>
  </si>
  <si>
    <t xml:space="preserve">MARÍA ALTAGRACIA POLANCO FLORENTINO </t>
  </si>
  <si>
    <t>JUANA RODRÍGUEZ DE LOS SANTOS</t>
  </si>
  <si>
    <t>VICTOR MANUEL DÍAZ CASTILLO</t>
  </si>
  <si>
    <t xml:space="preserve">ALAM DARWIN MARTÍNEZ GARCÍA </t>
  </si>
  <si>
    <t>WANNY ALTAGRACIA RODRÍGUEZ LIBERATO</t>
  </si>
  <si>
    <t>MARÍA ELIZABETH MEJIA</t>
  </si>
  <si>
    <t>SECCIÓN DE MANTENIMIENTO</t>
  </si>
  <si>
    <t xml:space="preserve">TÉCNICO ELECTRICISTA </t>
  </si>
  <si>
    <t>CLAUDIO RAMÓN MATEO MORA</t>
  </si>
  <si>
    <t>SECCIÓN TRANSPORTACIÓN</t>
  </si>
  <si>
    <t>DINO LÓPEZ MATEO</t>
  </si>
  <si>
    <t xml:space="preserve">RAMÓN ANTONIO FLORENTINO JIMÉNEZ </t>
  </si>
  <si>
    <t>MIGUEL ÁNGEL MATOS DE LA PAZ</t>
  </si>
  <si>
    <t>JUAN CLEMENTE RAMÍREZ RINCÓN</t>
  </si>
  <si>
    <t>MANUEL EMILIO PION BERROA</t>
  </si>
  <si>
    <t xml:space="preserve">DOMINGO ANTONIO MOREL MARTÍNEZ </t>
  </si>
  <si>
    <t xml:space="preserve">MÁXIMO FLORIÁN MERCEDES CORDERO </t>
  </si>
  <si>
    <t xml:space="preserve">JOAQUÍN ENRIQUE DÍAZ FLORIÁN </t>
  </si>
  <si>
    <t xml:space="preserve">EDWIN AMADO MEJÍA </t>
  </si>
  <si>
    <t>SECCIÓN ALMACÉN Y SUMINISTRO</t>
  </si>
  <si>
    <t>AUXILIAR DE ALMACÉN Y SUMINISTRO</t>
  </si>
  <si>
    <t>GERSON ANTONIO LIZARDO PÉREZ </t>
  </si>
  <si>
    <t xml:space="preserve">MARÍA LUISA MENDEZ FELIZ </t>
  </si>
  <si>
    <t>TAIRY IVENNY RAMÍREZ RAMÍREZ</t>
  </si>
  <si>
    <t xml:space="preserve">TÉCNICO ARCHIVISTA </t>
  </si>
  <si>
    <t xml:space="preserve">TÉCNICO BIBLIOTECARIO </t>
  </si>
  <si>
    <t xml:space="preserve">CECILIO LÓPEZ </t>
  </si>
  <si>
    <t xml:space="preserve">AUXILIAR DE DOCUMENTACIÓN </t>
  </si>
  <si>
    <t xml:space="preserve">ANGELA ROSA SÁNCHEZ GONZÁLEZ </t>
  </si>
  <si>
    <t xml:space="preserve">ELENA AUDORA RAMÍREZ </t>
  </si>
  <si>
    <t>DANIRDA JACQUELINE PATRICIO RAMÍREZ</t>
  </si>
  <si>
    <t xml:space="preserve">FRANCISCO MORETA GARCÍA </t>
  </si>
  <si>
    <t xml:space="preserve">ZACARÍAS SANTANA </t>
  </si>
  <si>
    <t xml:space="preserve">Nombres y Apellidos </t>
  </si>
  <si>
    <t>YEIMI ELIZABETH BROWN MENDIETA</t>
  </si>
  <si>
    <t>DIRECCIÓN DE ESTUDIOS ECONÓMICOS Y SEGUIMIENTO FINANCIERO</t>
  </si>
  <si>
    <t xml:space="preserve">RAFAEL FRANCISCO JOVINE ZORRILLA </t>
  </si>
  <si>
    <t xml:space="preserve"> AIRÓN DE JESÚS FERNÁNDEZ GIL </t>
  </si>
  <si>
    <t xml:space="preserve"> JUAN ELÍAS PORTALATÍN GARCÍA  </t>
  </si>
  <si>
    <t xml:space="preserve">MELVIN MIGUEL RODRÍGUEZ JIMÉNEZ </t>
  </si>
  <si>
    <t xml:space="preserve"> LUIS ANTONIO RODRÍGUEZ GUTIÉRREZ </t>
  </si>
  <si>
    <t xml:space="preserve">DEPARTAMENTO NORMAS Y METODOLOGÍAS </t>
  </si>
  <si>
    <t xml:space="preserve"> ALBA DOMINICANA REYES REYES </t>
  </si>
  <si>
    <t xml:space="preserve"> SASHA ESTEFANY SOTO SÁNCHEZ </t>
  </si>
  <si>
    <t xml:space="preserve">DIVISIÓN FORMULACIÓN, MONITOREO Y EVALUACIÓN DE PLANES, PROGRAMAS Y PROYECTOS </t>
  </si>
  <si>
    <t xml:space="preserve">JULIO CESAR GÓMEZ GARCÍA </t>
  </si>
  <si>
    <t xml:space="preserve">DIVISION REGISTRO, CONTROL Y NÓMINA </t>
  </si>
  <si>
    <t xml:space="preserve">NANCY JOSEFINA OVALLE GÓMEZ </t>
  </si>
  <si>
    <t xml:space="preserve"> SINAD DE LOS MILAGROS ESTEVEZ SANTANA </t>
  </si>
  <si>
    <t>IDALIA MARÍA MERCEDES ESCOTO</t>
  </si>
  <si>
    <t xml:space="preserve"> NIURVIS YALIZA ABREU JIMÉNEZ </t>
  </si>
  <si>
    <t xml:space="preserve"> NICOL ISABEL BATISTA VALERA </t>
  </si>
  <si>
    <t xml:space="preserve">TÉCNICO DE SERVICIOS Y BENEFICIOS </t>
  </si>
  <si>
    <t>TÉCNICO DE COMUNICACIÓN INSTITUCIONAL</t>
  </si>
  <si>
    <t xml:space="preserve">DIVISIÓN DESARROLLO E IMPLEMENTACIÓN DE SISTEMAS </t>
  </si>
  <si>
    <t xml:space="preserve">SOPORTE TÉCNICO INFORMÁTICO </t>
  </si>
  <si>
    <t>DIVISIÓN DE SERVICIOS GENERALES</t>
  </si>
  <si>
    <t>VICTOR FRANCISCO JOSÉ RODRÍGUEZ GARCÍA</t>
  </si>
  <si>
    <t xml:space="preserve">DAMASO RAMÍREZ MATEO </t>
  </si>
  <si>
    <t xml:space="preserve"> LIOMAR DANIEL JON BREA </t>
  </si>
  <si>
    <t xml:space="preserve"> LIBER MORILLO MORILLO  </t>
  </si>
  <si>
    <t xml:space="preserve">VERENICE CAPELLÁN </t>
  </si>
  <si>
    <t xml:space="preserve"> CHANAY CASTILLO CORCINO </t>
  </si>
  <si>
    <t xml:space="preserve">ENC. SECCIÓN ALMACÉN Y SUMINISTRO </t>
  </si>
  <si>
    <t>TOTAL GENERAL  NÓMINA PERSONAL TEMPORAL</t>
  </si>
  <si>
    <t>DIRECCIÓN GENERAL DE PRESUPUESTO</t>
  </si>
  <si>
    <t>NÓMINA DE SUELDOS: EMPLEADOS EN TRÁMITE DE PENSIÓN</t>
  </si>
  <si>
    <t>TOTAL GENERAL NÓMINA TRÁMITE DE PENSIÓN</t>
  </si>
  <si>
    <t>NÓMINA DE SUELDOS: PERSONAL TEMPORAL</t>
  </si>
  <si>
    <t xml:space="preserve">NÓMINA DE SUELDOS: EMPLEADOS FIJOS </t>
  </si>
  <si>
    <t xml:space="preserve">TOTAL GENERAL NÓMINA PERSONAL FIJO </t>
  </si>
  <si>
    <t xml:space="preserve">ESTANISLAO MERCEDES RODRÍGUEZ </t>
  </si>
  <si>
    <t xml:space="preserve">TÉCNICO DE COMPRAS </t>
  </si>
  <si>
    <t>Nombres y Apellidos</t>
  </si>
  <si>
    <t>ESPECIALISTA DE ESTUDIOS ECONÓMICOS Y SEGUIMIENTO FINANCIERO</t>
  </si>
  <si>
    <t>M</t>
  </si>
  <si>
    <t>F</t>
  </si>
  <si>
    <t>Género</t>
  </si>
  <si>
    <t>JOSÉ ROBERTO MORETA DE LEÓN</t>
  </si>
  <si>
    <t>ENCARGADO SECCIÓN DE MAYORDOMÍA</t>
  </si>
  <si>
    <t>NÓMINA DE SUELDOS: TEMPORAL A PERSONAL FIJO EN CARGOS DE CARRERA</t>
  </si>
  <si>
    <t>TOTAL GENERAL NÓMINA TEMPORAL A PERSONAL FIJO EN CARGOS DE CARRERA</t>
  </si>
  <si>
    <t xml:space="preserve">DIVISIÓN DE COMPRAS  Y CONTRATACIONES  </t>
  </si>
  <si>
    <t>MARIA JOSÉ CASTRO SUERO</t>
  </si>
  <si>
    <t>KIMBERLY JANELIS BERTRAND ROSA</t>
  </si>
  <si>
    <t>MARIEL YUDELKA SOLANO</t>
  </si>
  <si>
    <t>DISEÑADOR GRÁFICO</t>
  </si>
  <si>
    <t>DAIHAN FERNÁNDEZ DE LA CRUZ</t>
  </si>
  <si>
    <t>ANALISTA DE SEGURIDAD TIC I</t>
  </si>
  <si>
    <t>Funcion</t>
  </si>
  <si>
    <t>DE LIBRE NOMBRAMIENTO Y REMOCIÓN</t>
  </si>
  <si>
    <t>NELSON OREIBI MARTÍNEZ SOLER</t>
  </si>
  <si>
    <t>DIVISIÓN DE COMPRAS Y CONTRATACIONES</t>
  </si>
  <si>
    <t>SECCIÓN DE ALMACÉN Y SUMINISTRO</t>
  </si>
  <si>
    <t>NATALIA IRENE VÉLEZ MOLINA</t>
  </si>
  <si>
    <t>FRANCISCO ANTONIO GÓMEZ DE JESÚS</t>
  </si>
  <si>
    <t>ENCARGADO DIVISIÓN DE OPERACIONES TIC</t>
  </si>
  <si>
    <t xml:space="preserve">REYMUNDO SANTANA SAVIÑON </t>
  </si>
  <si>
    <t>ENCARGADA DIVISIÓN DE MINISTERIOS DE OBRAS PÚBLICAS Y VIVIENDA</t>
  </si>
  <si>
    <t>YUDERKIS SANTA MEDINA REYES</t>
  </si>
  <si>
    <t>YEURY RAMON ORTIZ PEÑA</t>
  </si>
  <si>
    <t xml:space="preserve">FEDERICO JONAS REYES VARGAS </t>
  </si>
  <si>
    <t>ENCARGADA DEPARTAMENTO DE SERVICIOS SOCIALES</t>
  </si>
  <si>
    <t>DEPARTAMENTO DE SERVICIOS ECONÓMICOS</t>
  </si>
  <si>
    <t>DEPARTAMENTO DE COMUNICACIONES</t>
  </si>
  <si>
    <t>ENCARGADA DEPARTAMENTO DE COMUNICACIONES</t>
  </si>
  <si>
    <t xml:space="preserve">DIRECCION GENERAL </t>
  </si>
  <si>
    <t>COMITÉ CONSULTIVO Y PROYECTOS ESPECIALES</t>
  </si>
  <si>
    <t>ANALISTA DE CALIDAD EN LA GESTIÓN I</t>
  </si>
  <si>
    <t>MANUEL EMILIO LINARES GUERRERO</t>
  </si>
  <si>
    <t>ALEXANDER CASTILLO ASENCIO</t>
  </si>
  <si>
    <t>CHOFER I</t>
  </si>
  <si>
    <t>ADRIÁN DE FRIAS CARMONA</t>
  </si>
  <si>
    <t>ARNOLD FRANCISCO ALMANZAR JOSEPH</t>
  </si>
  <si>
    <t>ENCARGADO DIVISIÓN DE REGIÓN CIBAO NOROESTE</t>
  </si>
  <si>
    <t>BIENVENIDO DIAZ COLLADO</t>
  </si>
  <si>
    <t xml:space="preserve">ENCARGADO DIVISIÓN DE PRODUCCIÓN GRÁFICA Y DIGITAL </t>
  </si>
  <si>
    <t>ANA MIGUELINA ALTAGRACIA TERRERO DE LEON</t>
  </si>
  <si>
    <t xml:space="preserve"> ENCARGADO DEPARTAMENTO EVALUACIÓN DEL DESEMPEÑO PRESUPUESTARIO</t>
  </si>
  <si>
    <t>ELVIS RAMÓN RICARDO DE JESÚS EUSEBIO ABREU</t>
  </si>
  <si>
    <t>MILOSSIS DEL MILAGRO LIRIANO RODRÍGUEZ</t>
  </si>
  <si>
    <t>ENCARGADA DIVISIÓN DE COMUNICACIÓN INSTITUCIONAL</t>
  </si>
  <si>
    <t>TAIRY IVENNY RAMIREZ RAMIREZ</t>
  </si>
  <si>
    <t xml:space="preserve">DIVISION FORMULACION, MONITOREO Y EVALUACION DE PLANES DE PROGRAMAS Y PROYECTOS </t>
  </si>
  <si>
    <t>JASMIN ALTAGRACIA MARMOLEJOS PAULINO</t>
  </si>
  <si>
    <t>DIVISIÓN DE MINISTERIOS DE TURISMO E INDUSTRIA, COMERCIO Y MIPYMES</t>
  </si>
  <si>
    <t>ANA ELY COMAS GALVÁ</t>
  </si>
  <si>
    <t xml:space="preserve">DIVISION DESARROLLO INSTITUCIONAL </t>
  </si>
  <si>
    <t>KARINA SUERO RUIZ</t>
  </si>
  <si>
    <t xml:space="preserve"> DEPARTAMENTO DE RECURSOS HUMANOS</t>
  </si>
  <si>
    <t>ADMINISTRADOR DE SISTEMAS</t>
  </si>
  <si>
    <t>HECTOR JOSÉ MANCEBO RODRIGUEZ</t>
  </si>
  <si>
    <t xml:space="preserve">COORDINADOR DE COMITÉ CONSULTIVO Y PROYECTOS ESPECIALES </t>
  </si>
  <si>
    <t>MICKEY JOEL COHÉN SIMÓ</t>
  </si>
  <si>
    <t>JOHNSY IRDEMARO BÁEZ MARTINEZ</t>
  </si>
  <si>
    <t>PATRIA TERESA CROUSSET MATA</t>
  </si>
  <si>
    <t>AMANDA HILARIO ABREU</t>
  </si>
  <si>
    <t>ESPECIALISTA DIRECCIÓN DE CALIDAD Y EVALUACIÓN DE LA GESTIÓN PRESUPUESTARIA</t>
  </si>
  <si>
    <t xml:space="preserve">ANA YISEL CUEVAS MATOS </t>
  </si>
  <si>
    <t>BRYAN ALEXIS THOMPSON PÉREZ</t>
  </si>
  <si>
    <t xml:space="preserve">HAMLET ALFONSO JIMÉNEZ RIVERA </t>
  </si>
  <si>
    <t xml:space="preserve">MÉDICO </t>
  </si>
  <si>
    <t>SANTA DIGNA RIVERA DE ALEJO</t>
  </si>
  <si>
    <t xml:space="preserve">SOCORRO HERNANDEZ VALDEZ </t>
  </si>
  <si>
    <t>AMBAR CHANEL PERALTA GEORGE</t>
  </si>
  <si>
    <t>ENCARGADA DIVISIÓN DE PRESIDENCIA DE LA REPÚBLICA Y MINISTERIO DE RELACIONES EXTERIORES</t>
  </si>
  <si>
    <t>DIVISIÓN DE REGIÓN SUR CENTRAL</t>
  </si>
  <si>
    <t>ENCARGADA DIVISIÓN DE REGIÓN SUR CENTRAL</t>
  </si>
  <si>
    <t>DEPARTAMENTO DE  NORMAS Y METODOLOGÍAS</t>
  </si>
  <si>
    <t xml:space="preserve">MARÍA VICTORIA ORTÍZ SÁNCHEZ </t>
  </si>
  <si>
    <t xml:space="preserve"> ENCARGADA DEPARTAMENTO DE  NORMAS Y METODOLOGÍAS</t>
  </si>
  <si>
    <t>COORDINADOR DE DESARROLLO DE CAPACIDADES PRESUPUESTARIA</t>
  </si>
  <si>
    <t>COORDINADOR DE ENLACE SIGEF</t>
  </si>
  <si>
    <t>ENCARGADO  DIVISIÓN DE MINISTERIOS DE HACIENDA, ADMINISTRACIÓN PÚBLICA, ECONOMÍA, PLANIFICACIÓN Y DESARROLLO</t>
  </si>
  <si>
    <t>FRANCIS ISRAEL SALDAÑA SANTANA</t>
  </si>
  <si>
    <t>PATRICIA CAROLINA PERDOMO GARCIA</t>
  </si>
  <si>
    <t>RICARDO JOSÉ SANTANA DÍAZ</t>
  </si>
  <si>
    <t>FERNANDO LUIS SAN MIGUEL ÁLVAREZ</t>
  </si>
  <si>
    <t>JOERAH EDMÉE ALFAU LARACUENTE</t>
  </si>
  <si>
    <t>VIRMARYS ANDREINA CANELA TORRES</t>
  </si>
  <si>
    <t>ERICK RAMÓN SANTANA REYES</t>
  </si>
  <si>
    <t>RAFAEL VITERBO DE LA ROSA CABA</t>
  </si>
  <si>
    <t>ANALISTA DE ANÁLISIS DE ESTUDIOS ECONÓMICOS I</t>
  </si>
  <si>
    <t xml:space="preserve">EDWIN AMADO MEJIA </t>
  </si>
  <si>
    <t>DANIA ALCANTARA GUTIERREZ</t>
  </si>
  <si>
    <t xml:space="preserve">ANALISTA DE NORMAS Y METODOLOGIA </t>
  </si>
  <si>
    <t>ANALISTA DE EVALUACION DEL DESEMPEÑO PRESUPUESTARIO</t>
  </si>
  <si>
    <t xml:space="preserve">FABIO MIGUEL CABRERA GOMEZ </t>
  </si>
  <si>
    <t xml:space="preserve">COORDINADOR SECTORIAL DE PRESUPUESTO </t>
  </si>
  <si>
    <t>COORDINADORA DE ANÁLISIS DE ESTUDIOS ECONÓMICOS II</t>
  </si>
  <si>
    <t>COORDINADORA DE EVALUACIÓN DEL DESEMPEÑO DE GESTIÓN PRESUPUESTARIA I</t>
  </si>
  <si>
    <t xml:space="preserve"> </t>
  </si>
  <si>
    <t>DDIVISIÓN DE MINISTERIO DE DEFENSA</t>
  </si>
  <si>
    <t xml:space="preserve">PATRICIA CAROLINA DILONE GIL </t>
  </si>
  <si>
    <t xml:space="preserve">SORANGEL GONZALEZ DIAZ </t>
  </si>
  <si>
    <t>NICKOL RODRÍGUEZ FERNÁNDEZ</t>
  </si>
  <si>
    <t xml:space="preserve">SFS DEPENDIENTES </t>
  </si>
  <si>
    <t>TOTAL TSS</t>
  </si>
  <si>
    <t>MONTO PARA ISR</t>
  </si>
  <si>
    <t xml:space="preserve">EDIGEN MANUEL FLORIAN FLORIAN </t>
  </si>
  <si>
    <t>SFS DEPENDIENTES</t>
  </si>
  <si>
    <t xml:space="preserve">LIANNY ROJAS DE AZA </t>
  </si>
  <si>
    <t xml:space="preserve">MARTA FELICIA DIAZ CASTILLO </t>
  </si>
  <si>
    <t xml:space="preserve">YONY AGUSTIN DEAZA </t>
  </si>
  <si>
    <t xml:space="preserve">GENARO PASCASIO CANELA </t>
  </si>
  <si>
    <t xml:space="preserve">LUBEANA MONTERO MORILLO </t>
  </si>
  <si>
    <t xml:space="preserve">VERONICA VALDEZ </t>
  </si>
  <si>
    <t xml:space="preserve">JOSE FRANCISCO PLACENCIA </t>
  </si>
  <si>
    <t xml:space="preserve">ANGELLI FRANCHESKA ECHAVARRIA ZABALA </t>
  </si>
  <si>
    <t xml:space="preserve">YULISSA MILAGROS BURGOS MEDINA </t>
  </si>
  <si>
    <t>ANALISTA DE EVALUACION DESEMPEÑO Y CAPACITACION</t>
  </si>
  <si>
    <t xml:space="preserve">DIVISION DE EVALUACION DEL DESEMPEÑO Y CAPACITACION </t>
  </si>
  <si>
    <t xml:space="preserve">MIGUEL ELIAS SARRAF CARABALLO </t>
  </si>
  <si>
    <t>ROMA DELFINA TAVERAS PIÑA</t>
  </si>
  <si>
    <t>FRANCISCO ANTONIO MENDEZ VELAZQUEZ</t>
  </si>
  <si>
    <t>CRISTAL THALIA MARTES PAULINO</t>
  </si>
  <si>
    <t xml:space="preserve">YAN LI SUAREZ </t>
  </si>
  <si>
    <t xml:space="preserve">VIRMANIA MANZUETA DE PEREZ </t>
  </si>
  <si>
    <t>ANALISTA DE CAPACITACION Y DESARROLLO</t>
  </si>
  <si>
    <t xml:space="preserve">WENDY ABREU DILONE </t>
  </si>
  <si>
    <t>ALCY LOPEZ SEGURA</t>
  </si>
  <si>
    <t>SECCION DE DOCUMENTACION</t>
  </si>
  <si>
    <t>JENNIFER DEL PILAR OVALLE SANTANA</t>
  </si>
  <si>
    <t>FIJA</t>
  </si>
  <si>
    <t xml:space="preserve">JOSE ROBERTO MORTEA DE LEON  </t>
  </si>
  <si>
    <t xml:space="preserve">NORVIN DARINEL BERGES SANCHEZ </t>
  </si>
  <si>
    <t xml:space="preserve">ENCARCADO SERVICIOS A LOS GOBIERNOS LOCALES </t>
  </si>
  <si>
    <t xml:space="preserve">JULIO JEREZ ADAMES </t>
  </si>
  <si>
    <t>JULIANA GILLERMINA MORERA VILLALON</t>
  </si>
  <si>
    <t>DIVISIÓN DE MINISTERIOS DE MEDIO AMBIENTE, AGRICULTURA, ENERGIA Y MINAS</t>
  </si>
  <si>
    <t xml:space="preserve">JHOSELYN POLANCO BRITO </t>
  </si>
  <si>
    <t>CARRERA ADMINISTRATIVA</t>
  </si>
  <si>
    <t>JOSE JAVIER SANTANA UREÑA</t>
  </si>
  <si>
    <t>PAOLA GELMANIA SIDO DIAZ</t>
  </si>
  <si>
    <t xml:space="preserve">LORENNA YISSEL DOMINGUEZ AYBAR </t>
  </si>
  <si>
    <t>LOWENSKI TEUDIS MATOS BENCOSME</t>
  </si>
  <si>
    <t xml:space="preserve">JUAN EDILVER ROSARIO MOTA </t>
  </si>
  <si>
    <t xml:space="preserve">ENCARGADO DE DIVISION DESARROLLO EIMPLEMENTACION DE SISTEMAS </t>
  </si>
  <si>
    <t xml:space="preserve">VIRGINIA MASSIEL BETANCOURT MOJICA </t>
  </si>
  <si>
    <t>MARIA ERCILIA JIMENEZ MARTINEZ</t>
  </si>
  <si>
    <t>MILDRED STERLING SANTANA</t>
  </si>
  <si>
    <t xml:space="preserve">AUXILIAR DE ENFERMERIA </t>
  </si>
  <si>
    <t xml:space="preserve">GLENNY CONCEPCION CRUZ  </t>
  </si>
  <si>
    <t xml:space="preserve">ENCARGADA DE DOCUMENTACIÓN </t>
  </si>
  <si>
    <t xml:space="preserve">TÉCNICO EN PRESUPUESTO Y TESORERIA </t>
  </si>
  <si>
    <t>DESARROLLADOR DE SISTEMA</t>
  </si>
  <si>
    <t>LEWIS KAROLINE ROSA VILLAR</t>
  </si>
  <si>
    <t>LUIS ANDRÉS HILARIO SALAS</t>
  </si>
  <si>
    <t>AUXILIAR DE DOCUMENTACIÓN</t>
  </si>
  <si>
    <t>LUDOVINO CEBALLOS JIMÉNEZ</t>
  </si>
  <si>
    <t>DIRECTOR DIRECCIÓN DE ESTUDIOS ECONOMICOS Y SEGUIMIENTO FINANCIERO</t>
  </si>
  <si>
    <t>ELISON BIENVENIDO ARIAS GARCIA</t>
  </si>
  <si>
    <t>ENCARGADO DIVISIÓN DE REGISTRO, CONTROL Y NÓMINA</t>
  </si>
  <si>
    <t>ANALISTA LEGAL</t>
  </si>
  <si>
    <t xml:space="preserve">ENCARGADA DIVISIÓN DE ORGANIZACIÓN DEL TRABAJO Y COMPENSACIÓN </t>
  </si>
  <si>
    <t>JUAN FRANCISCO DE LOS SANTOS DECENA</t>
  </si>
  <si>
    <t>ENCARGADO DIVISIÓN DE COMPRAS Y CONTRATACIONES</t>
  </si>
  <si>
    <t>ADRIANA LOPEZ CASTILLO</t>
  </si>
  <si>
    <t>JOSÉ ALEJANDRO GUTIÉRREZ LORENZO</t>
  </si>
  <si>
    <t>ANALISTA DE NORMAS Y METODOLOGÍAS PRESUPUESTARIAS</t>
  </si>
  <si>
    <t xml:space="preserve">RESPONSABLE DE OFICINA DE LIBRE ACCESO </t>
  </si>
  <si>
    <t xml:space="preserve">   </t>
  </si>
  <si>
    <t>ENCARGADO DE SECCIÓN DE ACTIVOS FIJOS Y CONTABILIDAD</t>
  </si>
  <si>
    <t xml:space="preserve">ENCARGADO DEL DEPARTAMENTO DE  GESTIÓN FINANCIERA DE FORMULACIÓN Y EJECUCIÓN </t>
  </si>
  <si>
    <t>ENCARGADA DEL DEPARTAMENTO DE ANÁLISIS Y ESTUDIOS ECONÓMICOS</t>
  </si>
  <si>
    <t xml:space="preserve">ENCARGADO DEL DEPARTAMENTO ADMINISTRATIVO Y FINANCIERO  </t>
  </si>
  <si>
    <t xml:space="preserve">ENCARGADO DE LA  DIVISIÓN DE SERVICIOS GENERALES </t>
  </si>
  <si>
    <t>JUSTINIANO JUAN MANUEL RODRIGUEZ PÉREZ</t>
  </si>
  <si>
    <t>CRISTIAN JESÚS MARTINEZ</t>
  </si>
  <si>
    <t>JOAB BIENVENIDO MERCEDES POLANCO</t>
  </si>
  <si>
    <t>LORENDA NUVIS DIAZ</t>
  </si>
  <si>
    <t>CLARA MARIA RAMIREZ RODRIGUEZ</t>
  </si>
  <si>
    <t>MIGUEL ANGEL PÉREZ DIAZ</t>
  </si>
  <si>
    <t xml:space="preserve">ANALISTA DE PLANIFICACION </t>
  </si>
  <si>
    <t>MARIEL AMANDA MATOS JIMINIÁN</t>
  </si>
  <si>
    <t xml:space="preserve">Saldo a Favor </t>
  </si>
  <si>
    <t xml:space="preserve">CARGO DE CONFIANZA </t>
  </si>
  <si>
    <t xml:space="preserve">TÉCNICO  DE PLANIFICACIÓN </t>
  </si>
  <si>
    <t>CAROLINA MATEO TERRERO DE VIDAL</t>
  </si>
  <si>
    <t xml:space="preserve">SUPERVISOR (A) DE COMEDOR </t>
  </si>
  <si>
    <t xml:space="preserve">ANGELA AGRAMONTE GARCIA </t>
  </si>
  <si>
    <t xml:space="preserve">FELIX JOSE VICENTE COLON </t>
  </si>
  <si>
    <t xml:space="preserve">JAIRO MANUEL FELIZ LOPEZ </t>
  </si>
  <si>
    <t>FACUNDO GUZMAN</t>
  </si>
  <si>
    <t xml:space="preserve">SAMUEL ARIAS GOMEZ </t>
  </si>
  <si>
    <t xml:space="preserve">ARIEL BENJAMIN MARTINEZ ZABALA </t>
  </si>
  <si>
    <t>ALBERTO DIVINO ZAPATA GUEVARA</t>
  </si>
  <si>
    <t xml:space="preserve">ANA ELIZABETH RODRIGUEZ PEREZ </t>
  </si>
  <si>
    <t>ANALISTA DE ANALISIS DE ESTUDIOS ECONOMICOS I</t>
  </si>
  <si>
    <t xml:space="preserve">DELFI DOLORES DE SALAS ANTONIO </t>
  </si>
  <si>
    <t>DIVISION FINANCIERA</t>
  </si>
  <si>
    <t xml:space="preserve">ANALISTA FINANCIERO </t>
  </si>
  <si>
    <t>ENCARGADA DIVISIÓN DESARROLLO INSTITUCIONAL</t>
  </si>
  <si>
    <t xml:space="preserve">DELMIS MARTES HICHEZ </t>
  </si>
  <si>
    <t xml:space="preserve">ESPECIALISTA DE PROYECTOS ESPECIALES </t>
  </si>
  <si>
    <t xml:space="preserve">DIVISIÓN DE CALIDAD EN LA GESTION </t>
  </si>
  <si>
    <t xml:space="preserve"> TÉCNICO ADMINISTRATIVO</t>
  </si>
  <si>
    <t xml:space="preserve">ANALISTA  DE PLANIFICACION E IGUALDA DE GENERO </t>
  </si>
  <si>
    <t>WINDRYS SÁNCHEZ DE RUIZ</t>
  </si>
  <si>
    <t>RAMFIS MICHAEL MORENO GONZÁLEZ</t>
  </si>
  <si>
    <t>MARÍA ESTEFANY CORONA CRUZ</t>
  </si>
  <si>
    <t>TÉCNICO DE CONTABILIDAD</t>
  </si>
  <si>
    <t xml:space="preserve">DIVISIÓN ADMINISTRATIVA </t>
  </si>
  <si>
    <t>ANTONIO RAFAEL HERNÁNDEZ CAPELLÁN</t>
  </si>
  <si>
    <t>ENCARGADO DIVISIÓN ADMINISTRATIVA</t>
  </si>
  <si>
    <t xml:space="preserve">ENCARGADA DIVISIÓN DE LA CALIDAD EN LA GESTIÓN  </t>
  </si>
  <si>
    <t xml:space="preserve">DIVISIÓN DE LA CALIDAD EN LA GESTIÓN  </t>
  </si>
  <si>
    <t>ANALISTA DE GESTIÓN FINANCIERA DE FORMULACIÓN Y EJECUCIÓN I</t>
  </si>
  <si>
    <t>ANALISTA DE NÓMINA</t>
  </si>
  <si>
    <t>ABRAHAM DE LEÓN MONTERO</t>
  </si>
  <si>
    <t>JULIZA GIL CASTILLO</t>
  </si>
  <si>
    <t>ENCARGADA DIVISIÓN DE MINISTERIOS DE LA MUJER, JUVENTUD, CULTURA, DEPORTES Y RECREACIÓN.</t>
  </si>
  <si>
    <t>INGRID LUNA GALVAN</t>
  </si>
  <si>
    <t>CARLOS MANUEL BEREGUETE CABRERA</t>
  </si>
  <si>
    <t xml:space="preserve">ALEXANDER SALDAÑA LUCIANO </t>
  </si>
  <si>
    <t>BASILIO MARTINEZ</t>
  </si>
  <si>
    <t>01 DE JULIO DEL 2025</t>
  </si>
  <si>
    <t>ANALISTA DE DESARROLLO INSTITUCIONAL I</t>
  </si>
  <si>
    <t xml:space="preserve">THANIA LILIBET HERRERA MATEO </t>
  </si>
  <si>
    <t>ANDRÉS CABRAL ROSA</t>
  </si>
  <si>
    <t>TÉCNICO REGISTRO Y CONTROL</t>
  </si>
  <si>
    <t>JUAN ANDRES ESCOLFULLER CASTILLO</t>
  </si>
  <si>
    <t>SECCION DE MANTENIMIENTO</t>
  </si>
  <si>
    <t>EDDY RICARDO INOA MENDOZA</t>
  </si>
  <si>
    <t>ENCARGADO SECCION DE MANTENIMIENTO</t>
  </si>
  <si>
    <t>DIVISIÓN DE MINISTERIOS DE LA MUJER, JUVENTUD, CULTURA, DEPORTES Y RECREACIÓN.</t>
  </si>
  <si>
    <t>ENCARGADA DE DIVISIÓN DE MINISTERIOS DE LA MUJER, JUVENTUD, CULTURA, DEPORTES Y RECREACIÓN</t>
  </si>
  <si>
    <t xml:space="preserve">COORDINADORA SECTORIAL DE PRESUPUESTO </t>
  </si>
  <si>
    <t>ROSA MARIA COLAS JIMENEZ</t>
  </si>
  <si>
    <t>NURIA MADELINE VELOZ REYES</t>
  </si>
  <si>
    <t>KELVINSON DE LA CEUZ SANTANA</t>
  </si>
  <si>
    <t>ENCARGADA  SECCIÓN DE PRESUPUESTO Y TESORERÍA</t>
  </si>
  <si>
    <t>JUAN ALFONSO PAULINO RODRIGUEZ</t>
  </si>
  <si>
    <t>01 DE OCTUBRE DEL 2025</t>
  </si>
  <si>
    <t xml:space="preserve">ANA MARIA BIERD DE JESUS </t>
  </si>
  <si>
    <t>ENCARGADA DE DIVISION DE MINISTERIO DE OBRAS PUBLICAS Y VIVIENDA</t>
  </si>
  <si>
    <t>BELKIS ADALGISA MAÑON HIDALGO</t>
  </si>
  <si>
    <t>DIVISION DE SERVICIOS A LAS EMPRESAS PÚBLICAS NO FINANCIERAS</t>
  </si>
  <si>
    <t>ENC. DIVISION DE SERVICIOS A LAS EMPRESAS PÚBLICAS NO FINANCIERAS</t>
  </si>
  <si>
    <t>ANALISTA SECTORIAL DE PRESUPUESTO I</t>
  </si>
  <si>
    <t xml:space="preserve">ENCARGADA DEPARTAMENTO DE PLANIFICACION Y DESARROLLO </t>
  </si>
  <si>
    <t>ANGEL YUNIOR ROMERO PEÑA</t>
  </si>
  <si>
    <t>ANDREINA YAMILKA CABRAL LLUBERES</t>
  </si>
  <si>
    <t>MIGUEL ANTONIO ANDUJAR GUZMÁN</t>
  </si>
  <si>
    <t>MERCEDES FRANCISCA ROSARIO BRAZOBÁN</t>
  </si>
  <si>
    <t>01 DE NOVIEMBRE DEL 2025</t>
  </si>
  <si>
    <t xml:space="preserve">ANALISTA SECTORIAL DE PRESUPUESTO I </t>
  </si>
  <si>
    <t>DAURIS OSCAR FAMILIA HERNÁNDEZ</t>
  </si>
  <si>
    <t>DIVISIÓN DE  DE PODER JUDICIAL, CÁMARA DE DIPUTADOS Y SENADO DE LA REPÚBLICA</t>
  </si>
  <si>
    <t>ANDRÉS AUGUSTO GARCÍA VALIENTE</t>
  </si>
  <si>
    <t>01 DE DICIEMBRE DEL 2025</t>
  </si>
  <si>
    <t xml:space="preserve">01 DE JUNIO DEL 2025 </t>
  </si>
  <si>
    <t>f</t>
  </si>
  <si>
    <t>ELVIRANYI RAQUEL MARTINEZ</t>
  </si>
  <si>
    <t xml:space="preserve">JULIAN JOSE ACOSTA ACOSTA </t>
  </si>
  <si>
    <t>ALEXANDER HILARIO OSORIO</t>
  </si>
  <si>
    <t>01 DE ENERO DE 2026</t>
  </si>
  <si>
    <t>ENCARGADO DEPT- TECNOLOGÍA DE LA INFORMACIÓN Y COMUNICACIÓN</t>
  </si>
  <si>
    <t>ENCARGADO DIV. ADMINISTRACIÓN DE SERVICIOS TIC</t>
  </si>
  <si>
    <t xml:space="preserve">TÉCNICO ADMINISTRATIVO </t>
  </si>
  <si>
    <t>EMILY ROSEILY MONTERO OGANDO</t>
  </si>
  <si>
    <t>MAURICIO RAFAEL CHIA VERDEJA</t>
  </si>
  <si>
    <t xml:space="preserve">MAURIN FRANCHESCA CORTORREAL DEL PILAR </t>
  </si>
  <si>
    <t>BRYAN ALBERTO FERNANDEZ</t>
  </si>
  <si>
    <t>MIGUEL NUÑEZ ACEVEDO</t>
  </si>
  <si>
    <t>YANNA ENEROLISA PEREZ ALCANTARA</t>
  </si>
  <si>
    <t>TANIA MELISSA QUELIZ SANCHEZ</t>
  </si>
  <si>
    <t>01 DE FEBRERO DEL 2026</t>
  </si>
  <si>
    <t>ROSABEL ITAMAR MADURO JIMENEZ</t>
  </si>
  <si>
    <t>SFS Dependientes</t>
  </si>
  <si>
    <t>ENCARGADA DE LA DIVISION FINANCIERA</t>
  </si>
  <si>
    <t xml:space="preserve">ESMERALDA CARMONA AGUSTIN </t>
  </si>
  <si>
    <t xml:space="preserve">KIARA REGINA ESTRELLA TORIBIO </t>
  </si>
  <si>
    <t xml:space="preserve">MARIA ROSA NICASIO </t>
  </si>
  <si>
    <t xml:space="preserve">AMBAR QUISQUEYA PEÑA OGANDO </t>
  </si>
  <si>
    <t xml:space="preserve">HANSHER MANUEL RUA PEREZ </t>
  </si>
  <si>
    <t xml:space="preserve">JUAN DANIEL ALCANTARA OVIEDO </t>
  </si>
  <si>
    <t>01 DE ABRIL DE 2026</t>
  </si>
  <si>
    <t>01 DE MARZO DE 2026</t>
  </si>
  <si>
    <t>LIANNY ROJAS DE AZA</t>
  </si>
  <si>
    <t>TECNICO ADMINISTRATIVO</t>
  </si>
  <si>
    <t xml:space="preserve">ASISTENTE I </t>
  </si>
  <si>
    <t xml:space="preserve"> ANALISTA DE PLANIFICACIÓN I</t>
  </si>
  <si>
    <t>COORDINADOR MESA DE AYUDA</t>
  </si>
  <si>
    <t xml:space="preserve">DEPARTAMENTO DE GOBIERNO LOCALES </t>
  </si>
  <si>
    <t xml:space="preserve">SOPORTE TÉCNICO DE PRUEBAS Y DOCUMENTACIÓN </t>
  </si>
  <si>
    <t>DIANA VIVIANA FLORIAN VESQUEZ</t>
  </si>
  <si>
    <t>JOSMAIRY ESTEFANIA MONTOLIO PEREZ</t>
  </si>
  <si>
    <t>JOALDO ERNESTO LOPEZ ESPINOSA</t>
  </si>
  <si>
    <t>01 DE MAYO DE 2026</t>
  </si>
  <si>
    <t xml:space="preserve">TECNICO ADMINISTRATIVO </t>
  </si>
  <si>
    <t>1 DE NOVIEMBRE DEL 2025</t>
  </si>
  <si>
    <t>02 DE JULIO DEL 2026</t>
  </si>
  <si>
    <t>01 DE JULIO DEL 2026</t>
  </si>
  <si>
    <t>02 DE ENERO DE 2026</t>
  </si>
  <si>
    <t>IDALIA MERCEDES ESCOTO</t>
  </si>
  <si>
    <t>JOSE ALBERTO MACHADO INOA</t>
  </si>
  <si>
    <t>LUIS ORLANDO HAZA LOPEZ</t>
  </si>
  <si>
    <t>EVA CAROLINA SANCHEZ JAVIER</t>
  </si>
  <si>
    <t xml:space="preserve">JULIRIS ELIZABETH PEQUERO MOTA </t>
  </si>
  <si>
    <t>01 DE AGOSTO DEL 2026</t>
  </si>
  <si>
    <t>01 DE JUNIO DE 2026</t>
  </si>
  <si>
    <t xml:space="preserve">MERCEDES FLORENTINO MONTAS </t>
  </si>
  <si>
    <t xml:space="preserve">SECCION DE MAYORDOMIA </t>
  </si>
  <si>
    <t xml:space="preserve">SECCION DE DOCUMENTACION </t>
  </si>
  <si>
    <t>01 DE  JUNIO DE 2026</t>
  </si>
  <si>
    <t xml:space="preserve">DEYVI NOEL CASTILLO RICHARDSON </t>
  </si>
  <si>
    <t>Correspondiente al mes de marzo del año 2026</t>
  </si>
  <si>
    <t>REYMI DANIEL CARABALLO RAVELO</t>
  </si>
  <si>
    <t>LUIS MIGUEL SANTO CONTRERAS</t>
  </si>
  <si>
    <t xml:space="preserve">ENCARGADA DE RECURSOS HUMANOS </t>
  </si>
  <si>
    <t>1 DE SEPTIEMBRE DE 2026</t>
  </si>
  <si>
    <t xml:space="preserve">REALIZADOR AUDIOVISUAL </t>
  </si>
  <si>
    <t xml:space="preserve">ENCARGADA DE DVISION </t>
  </si>
  <si>
    <t>NÓMINA DE SUELDOS: EMPLEADOS EN PERIODO PROBATORIO</t>
  </si>
  <si>
    <t xml:space="preserve">PROBATORIO </t>
  </si>
  <si>
    <t xml:space="preserve">LESLIE LORENA GUERRERO GONZALEZ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</si>
</sst>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-* #,##0.00_-;\-* #,##0.00_-;_-* &quot;-&quot;??_-;_-@_-"/>
    <numFmt numFmtId="165" formatCode="000\-0000000\-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Arial"/>
      <family val="2"/>
    </font>
    <font>
      <sz val="10"/>
      <name val="Calibri"/>
      <family val="2"/>
    </font>
    <font>
      <sz val="10"/>
      <color theme="1"/>
      <name val="Century Gothic"/>
      <family val="2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2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80">
    <xf numFmtId="0" fontId="0" fillId="0" borderId="0" xfId="0"/>
    <xf numFmtId="0" fontId="4" fillId="2" borderId="0" xfId="0" applyFont="1" applyFill="1"/>
    <xf numFmtId="43" fontId="4" fillId="2" borderId="0" xfId="1" applyFont="1" applyFill="1" applyBorder="1"/>
    <xf numFmtId="0" fontId="4" fillId="2" borderId="0" xfId="0" applyFont="1" applyFill="1" applyAlignment="1">
      <alignment horizontal="center"/>
    </xf>
    <xf numFmtId="43" fontId="4" fillId="2" borderId="0" xfId="0" applyNumberFormat="1" applyFont="1" applyFill="1"/>
    <xf numFmtId="164" fontId="4" fillId="2" borderId="0" xfId="0" applyNumberFormat="1" applyFont="1" applyFill="1"/>
    <xf numFmtId="0" fontId="5" fillId="2" borderId="0" xfId="0" applyFont="1" applyFill="1" applyAlignment="1">
      <alignment horizontal="center"/>
    </xf>
    <xf numFmtId="43" fontId="11" fillId="2" borderId="0" xfId="1" applyFont="1" applyFill="1" applyBorder="1"/>
    <xf numFmtId="0" fontId="11" fillId="2" borderId="0" xfId="0" applyFont="1" applyFill="1"/>
    <xf numFmtId="0" fontId="13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6" fillId="2" borderId="0" xfId="0" applyFont="1" applyFill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43" fontId="17" fillId="4" borderId="1" xfId="1" applyFont="1" applyFill="1" applyBorder="1"/>
    <xf numFmtId="43" fontId="16" fillId="2" borderId="0" xfId="0" applyNumberFormat="1" applyFont="1" applyFill="1"/>
    <xf numFmtId="43" fontId="16" fillId="2" borderId="0" xfId="1" applyFont="1" applyFill="1" applyBorder="1"/>
    <xf numFmtId="43" fontId="17" fillId="2" borderId="0" xfId="1" applyFont="1" applyFill="1" applyBorder="1"/>
    <xf numFmtId="43" fontId="16" fillId="2" borderId="0" xfId="1" applyFont="1" applyFill="1" applyBorder="1" applyAlignment="1">
      <alignment horizontal="center"/>
    </xf>
    <xf numFmtId="0" fontId="16" fillId="2" borderId="0" xfId="0" applyFont="1" applyFill="1" applyAlignment="1">
      <alignment horizontal="left"/>
    </xf>
    <xf numFmtId="165" fontId="13" fillId="2" borderId="0" xfId="0" applyNumberFormat="1" applyFont="1" applyFill="1" applyAlignment="1">
      <alignment horizontal="left" wrapText="1"/>
    </xf>
    <xf numFmtId="0" fontId="16" fillId="2" borderId="0" xfId="0" applyFont="1" applyFill="1" applyAlignment="1">
      <alignment horizontal="center"/>
    </xf>
    <xf numFmtId="43" fontId="16" fillId="2" borderId="0" xfId="1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43" fontId="15" fillId="2" borderId="0" xfId="1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43" fontId="16" fillId="0" borderId="0" xfId="1" applyFont="1" applyFill="1" applyBorder="1"/>
    <xf numFmtId="43" fontId="16" fillId="0" borderId="0" xfId="1" applyFont="1" applyFill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43" fontId="17" fillId="3" borderId="6" xfId="0" applyNumberFormat="1" applyFont="1" applyFill="1" applyBorder="1"/>
    <xf numFmtId="0" fontId="1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/>
    </xf>
    <xf numFmtId="0" fontId="16" fillId="0" borderId="2" xfId="0" applyFont="1" applyBorder="1" applyAlignment="1">
      <alignment horizontal="center"/>
    </xf>
    <xf numFmtId="43" fontId="16" fillId="0" borderId="2" xfId="1" applyFont="1" applyFill="1" applyBorder="1"/>
    <xf numFmtId="43" fontId="16" fillId="0" borderId="2" xfId="0" applyNumberFormat="1" applyFont="1" applyBorder="1"/>
    <xf numFmtId="0" fontId="16" fillId="0" borderId="0" xfId="0" applyFont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43" fontId="16" fillId="0" borderId="1" xfId="1" applyFont="1" applyFill="1" applyBorder="1"/>
    <xf numFmtId="43" fontId="16" fillId="0" borderId="1" xfId="0" applyNumberFormat="1" applyFont="1" applyBorder="1"/>
    <xf numFmtId="165" fontId="13" fillId="0" borderId="1" xfId="0" applyNumberFormat="1" applyFont="1" applyBorder="1" applyAlignment="1">
      <alignment horizontal="left" wrapText="1"/>
    </xf>
    <xf numFmtId="43" fontId="17" fillId="0" borderId="0" xfId="1" applyFont="1" applyFill="1" applyBorder="1"/>
    <xf numFmtId="43" fontId="16" fillId="0" borderId="0" xfId="1" applyFont="1" applyFill="1" applyBorder="1" applyAlignment="1">
      <alignment horizontal="left"/>
    </xf>
    <xf numFmtId="43" fontId="16" fillId="2" borderId="2" xfId="1" applyFont="1" applyFill="1" applyBorder="1"/>
    <xf numFmtId="0" fontId="16" fillId="2" borderId="1" xfId="0" applyFont="1" applyFill="1" applyBorder="1" applyAlignment="1">
      <alignment horizontal="left"/>
    </xf>
    <xf numFmtId="165" fontId="13" fillId="2" borderId="1" xfId="0" applyNumberFormat="1" applyFont="1" applyFill="1" applyBorder="1" applyAlignment="1">
      <alignment horizontal="left" wrapText="1"/>
    </xf>
    <xf numFmtId="43" fontId="16" fillId="2" borderId="1" xfId="1" applyFont="1" applyFill="1" applyBorder="1"/>
    <xf numFmtId="0" fontId="16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/>
    </xf>
    <xf numFmtId="165" fontId="13" fillId="2" borderId="2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5" fillId="2" borderId="0" xfId="0" applyFont="1" applyFill="1" applyAlignment="1">
      <alignment horizontal="center"/>
    </xf>
    <xf numFmtId="0" fontId="17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6" fillId="2" borderId="2" xfId="0" applyFont="1" applyFill="1" applyBorder="1" applyAlignment="1">
      <alignment horizontal="left" wrapText="1"/>
    </xf>
    <xf numFmtId="0" fontId="20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43" fontId="16" fillId="0" borderId="1" xfId="1" applyFont="1" applyFill="1" applyBorder="1" applyAlignment="1">
      <alignment vertical="center"/>
    </xf>
    <xf numFmtId="43" fontId="16" fillId="0" borderId="2" xfId="1" applyFont="1" applyFill="1" applyBorder="1" applyAlignment="1">
      <alignment vertical="center"/>
    </xf>
    <xf numFmtId="43" fontId="21" fillId="2" borderId="1" xfId="1" applyFont="1" applyFill="1" applyBorder="1"/>
    <xf numFmtId="43" fontId="21" fillId="2" borderId="2" xfId="1" applyFont="1" applyFill="1" applyBorder="1"/>
    <xf numFmtId="0" fontId="1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wrapText="1"/>
    </xf>
    <xf numFmtId="0" fontId="16" fillId="0" borderId="1" xfId="0" applyFont="1" applyBorder="1" applyAlignment="1">
      <alignment horizontal="left" wrapText="1"/>
    </xf>
    <xf numFmtId="43" fontId="13" fillId="2" borderId="1" xfId="1" applyFont="1" applyFill="1" applyBorder="1"/>
    <xf numFmtId="0" fontId="15" fillId="3" borderId="14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43" fontId="11" fillId="2" borderId="0" xfId="0" applyNumberFormat="1" applyFont="1" applyFill="1"/>
    <xf numFmtId="0" fontId="15" fillId="3" borderId="23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43" fontId="16" fillId="0" borderId="2" xfId="0" applyNumberFormat="1" applyFont="1" applyBorder="1" applyAlignment="1">
      <alignment vertical="center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16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5" fillId="3" borderId="7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wrapText="1"/>
    </xf>
    <xf numFmtId="0" fontId="12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4" fillId="0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43" fontId="7" fillId="4" borderId="1" xfId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3" fontId="4" fillId="2" borderId="1" xfId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43" fontId="4" fillId="2" borderId="0" xfId="1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7" fillId="2" borderId="0" xfId="1" applyFont="1" applyFill="1" applyBorder="1" applyAlignment="1">
      <alignment vertical="center"/>
    </xf>
    <xf numFmtId="43" fontId="4" fillId="0" borderId="0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43" fontId="4" fillId="2" borderId="1" xfId="0" applyNumberFormat="1" applyFont="1" applyFill="1" applyBorder="1" applyAlignment="1">
      <alignment vertical="center"/>
    </xf>
    <xf numFmtId="43" fontId="4" fillId="0" borderId="2" xfId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4" fillId="2" borderId="0" xfId="1" applyFont="1" applyFill="1" applyBorder="1" applyAlignment="1">
      <alignment horizontal="center" vertical="center"/>
    </xf>
    <xf numFmtId="43" fontId="7" fillId="2" borderId="0" xfId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43" fontId="16" fillId="2" borderId="0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3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43" fontId="4" fillId="2" borderId="2" xfId="1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3" fontId="4" fillId="2" borderId="2" xfId="0" applyNumberFormat="1" applyFont="1" applyFill="1" applyBorder="1" applyAlignment="1">
      <alignment vertical="center"/>
    </xf>
    <xf numFmtId="43" fontId="4" fillId="2" borderId="1" xfId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43" fontId="4" fillId="0" borderId="1" xfId="0" applyNumberFormat="1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43" fontId="4" fillId="2" borderId="10" xfId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3" fontId="7" fillId="0" borderId="0" xfId="1" applyFont="1" applyFill="1" applyBorder="1" applyAlignment="1">
      <alignment vertical="center"/>
    </xf>
    <xf numFmtId="43" fontId="4" fillId="0" borderId="27" xfId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43" fontId="4" fillId="0" borderId="1" xfId="1" applyFont="1" applyFill="1" applyBorder="1" applyAlignment="1">
      <alignment horizontal="left" vertical="center"/>
    </xf>
    <xf numFmtId="43" fontId="4" fillId="0" borderId="2" xfId="1" applyFont="1" applyFill="1" applyBorder="1" applyAlignment="1">
      <alignment horizontal="left" vertical="center"/>
    </xf>
    <xf numFmtId="43" fontId="4" fillId="2" borderId="2" xfId="1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43" fontId="4" fillId="2" borderId="0" xfId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43" fontId="4" fillId="0" borderId="0" xfId="1" applyFont="1" applyFill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2" borderId="11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vertical="center"/>
    </xf>
    <xf numFmtId="43" fontId="10" fillId="0" borderId="1" xfId="1" applyFont="1" applyFill="1" applyBorder="1" applyAlignment="1">
      <alignment horizontal="center" vertical="center"/>
    </xf>
    <xf numFmtId="165" fontId="9" fillId="2" borderId="0" xfId="0" applyNumberFormat="1" applyFont="1" applyFill="1" applyAlignment="1">
      <alignment horizontal="left" vertical="center" wrapText="1"/>
    </xf>
    <xf numFmtId="43" fontId="7" fillId="0" borderId="17" xfId="1" applyFont="1" applyFill="1" applyBorder="1" applyAlignment="1">
      <alignment vertical="center"/>
    </xf>
    <xf numFmtId="0" fontId="7" fillId="2" borderId="9" xfId="0" applyFont="1" applyFill="1" applyBorder="1" applyAlignment="1">
      <alignment vertical="center" wrapText="1"/>
    </xf>
    <xf numFmtId="43" fontId="7" fillId="2" borderId="17" xfId="1" applyFont="1" applyFill="1" applyBorder="1" applyAlignment="1">
      <alignment vertical="center"/>
    </xf>
    <xf numFmtId="0" fontId="7" fillId="2" borderId="20" xfId="0" applyFont="1" applyFill="1" applyBorder="1" applyAlignment="1">
      <alignment horizontal="center" vertical="center" wrapText="1"/>
    </xf>
    <xf numFmtId="43" fontId="7" fillId="2" borderId="3" xfId="1" applyFont="1" applyFill="1" applyBorder="1" applyAlignment="1">
      <alignment vertical="center"/>
    </xf>
    <xf numFmtId="43" fontId="7" fillId="2" borderId="4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43" fontId="7" fillId="3" borderId="6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43" fontId="4" fillId="2" borderId="0" xfId="0" applyNumberFormat="1" applyFont="1" applyFill="1" applyAlignment="1">
      <alignment vertical="center"/>
    </xf>
    <xf numFmtId="43" fontId="4" fillId="0" borderId="0" xfId="0" applyNumberFormat="1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43" fontId="11" fillId="2" borderId="0" xfId="1" applyFont="1" applyFill="1" applyBorder="1" applyAlignment="1">
      <alignment vertical="center"/>
    </xf>
    <xf numFmtId="0" fontId="17" fillId="2" borderId="4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7" fillId="2" borderId="17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43" fontId="16" fillId="2" borderId="2" xfId="1" applyFont="1" applyFill="1" applyBorder="1" applyAlignment="1">
      <alignment vertical="center"/>
    </xf>
    <xf numFmtId="43" fontId="16" fillId="2" borderId="1" xfId="1" applyFont="1" applyFill="1" applyBorder="1" applyAlignment="1">
      <alignment vertical="center"/>
    </xf>
    <xf numFmtId="43" fontId="16" fillId="2" borderId="2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43" fontId="16" fillId="0" borderId="0" xfId="1" applyFont="1" applyFill="1" applyBorder="1" applyAlignment="1">
      <alignment vertical="center"/>
    </xf>
    <xf numFmtId="0" fontId="16" fillId="2" borderId="2" xfId="0" applyFont="1" applyFill="1" applyBorder="1" applyAlignment="1">
      <alignment horizontal="left" vertical="center" wrapText="1"/>
    </xf>
    <xf numFmtId="43" fontId="16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vertical="center"/>
    </xf>
    <xf numFmtId="0" fontId="17" fillId="2" borderId="11" xfId="0" applyFont="1" applyFill="1" applyBorder="1" applyAlignment="1">
      <alignment vertical="center"/>
    </xf>
    <xf numFmtId="43" fontId="17" fillId="4" borderId="1" xfId="1" applyFont="1" applyFill="1" applyBorder="1" applyAlignment="1">
      <alignment vertical="center"/>
    </xf>
    <xf numFmtId="43" fontId="17" fillId="2" borderId="0" xfId="1" applyFont="1" applyFill="1" applyBorder="1" applyAlignment="1">
      <alignment vertical="center"/>
    </xf>
    <xf numFmtId="43" fontId="16" fillId="2" borderId="0" xfId="1" applyFont="1" applyFill="1" applyBorder="1" applyAlignment="1">
      <alignment horizontal="center" vertical="center"/>
    </xf>
    <xf numFmtId="165" fontId="13" fillId="2" borderId="0" xfId="0" applyNumberFormat="1" applyFont="1" applyFill="1" applyAlignment="1">
      <alignment horizontal="left" vertical="center" wrapText="1"/>
    </xf>
    <xf numFmtId="0" fontId="15" fillId="2" borderId="4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4" fillId="2" borderId="0" xfId="0" applyFont="1" applyFill="1" applyAlignment="1">
      <alignment horizontal="left" vertical="center"/>
    </xf>
    <xf numFmtId="165" fontId="13" fillId="2" borderId="1" xfId="0" applyNumberFormat="1" applyFont="1" applyFill="1" applyBorder="1" applyAlignment="1">
      <alignment horizontal="left" vertical="center" wrapText="1"/>
    </xf>
    <xf numFmtId="43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7" fillId="2" borderId="10" xfId="0" applyFont="1" applyFill="1" applyBorder="1" applyAlignment="1">
      <alignment vertical="center"/>
    </xf>
    <xf numFmtId="43" fontId="16" fillId="2" borderId="0" xfId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vertical="center"/>
    </xf>
    <xf numFmtId="43" fontId="17" fillId="0" borderId="0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165" fontId="13" fillId="0" borderId="2" xfId="0" applyNumberFormat="1" applyFont="1" applyBorder="1" applyAlignment="1">
      <alignment horizontal="left"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165" fontId="13" fillId="0" borderId="1" xfId="0" applyNumberFormat="1" applyFont="1" applyBorder="1" applyAlignment="1">
      <alignment horizontal="left" vertical="center" wrapText="1"/>
    </xf>
    <xf numFmtId="0" fontId="15" fillId="2" borderId="5" xfId="0" applyFont="1" applyFill="1" applyBorder="1" applyAlignment="1">
      <alignment vertical="center" wrapText="1"/>
    </xf>
    <xf numFmtId="43" fontId="16" fillId="0" borderId="0" xfId="1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43" fontId="18" fillId="2" borderId="1" xfId="1" applyFont="1" applyFill="1" applyBorder="1" applyAlignment="1">
      <alignment horizontal="center" vertical="center"/>
    </xf>
    <xf numFmtId="165" fontId="13" fillId="0" borderId="1" xfId="0" applyNumberFormat="1" applyFont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43" fontId="15" fillId="2" borderId="0" xfId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left" vertical="center"/>
    </xf>
    <xf numFmtId="43" fontId="16" fillId="2" borderId="13" xfId="1" applyFont="1" applyFill="1" applyBorder="1" applyAlignment="1">
      <alignment vertical="center"/>
    </xf>
    <xf numFmtId="43" fontId="16" fillId="0" borderId="13" xfId="1" applyFont="1" applyFill="1" applyBorder="1" applyAlignment="1">
      <alignment vertical="center"/>
    </xf>
    <xf numFmtId="43" fontId="16" fillId="0" borderId="0" xfId="0" applyNumberFormat="1" applyFont="1" applyAlignment="1">
      <alignment vertical="center"/>
    </xf>
    <xf numFmtId="0" fontId="15" fillId="2" borderId="15" xfId="0" applyFont="1" applyFill="1" applyBorder="1" applyAlignment="1">
      <alignment vertical="center"/>
    </xf>
    <xf numFmtId="0" fontId="15" fillId="2" borderId="16" xfId="0" applyFont="1" applyFill="1" applyBorder="1" applyAlignment="1">
      <alignment vertical="center"/>
    </xf>
    <xf numFmtId="43" fontId="17" fillId="2" borderId="0" xfId="1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165" fontId="12" fillId="2" borderId="0" xfId="0" applyNumberFormat="1" applyFont="1" applyFill="1" applyAlignment="1">
      <alignment horizontal="left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43" fontId="16" fillId="2" borderId="1" xfId="1" applyFont="1" applyFill="1" applyBorder="1" applyAlignment="1">
      <alignment horizontal="center" vertical="center"/>
    </xf>
    <xf numFmtId="43" fontId="17" fillId="0" borderId="0" xfId="1" applyFont="1" applyFill="1" applyBorder="1" applyAlignment="1">
      <alignment horizontal="left" vertical="center"/>
    </xf>
    <xf numFmtId="43" fontId="16" fillId="0" borderId="0" xfId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43" fontId="17" fillId="3" borderId="6" xfId="0" applyNumberFormat="1" applyFont="1" applyFill="1" applyBorder="1" applyAlignment="1">
      <alignment vertical="center"/>
    </xf>
    <xf numFmtId="43" fontId="16" fillId="2" borderId="0" xfId="0" applyNumberFormat="1" applyFont="1" applyFill="1" applyAlignment="1">
      <alignment vertical="center"/>
    </xf>
    <xf numFmtId="0" fontId="16" fillId="0" borderId="11" xfId="0" applyFont="1" applyBorder="1" applyAlignment="1">
      <alignment horizontal="left" vertical="center" wrapText="1"/>
    </xf>
    <xf numFmtId="43" fontId="4" fillId="0" borderId="2" xfId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43" fontId="16" fillId="0" borderId="2" xfId="1" applyFont="1" applyFill="1" applyBorder="1" applyAlignment="1">
      <alignment wrapText="1"/>
    </xf>
    <xf numFmtId="4" fontId="16" fillId="2" borderId="0" xfId="0" applyNumberFormat="1" applyFont="1" applyFill="1" applyAlignment="1">
      <alignment vertical="center"/>
    </xf>
    <xf numFmtId="0" fontId="17" fillId="0" borderId="3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43" fontId="4" fillId="2" borderId="29" xfId="1" applyFont="1" applyFill="1" applyBorder="1" applyAlignment="1">
      <alignment horizontal="center" vertical="center"/>
    </xf>
    <xf numFmtId="43" fontId="4" fillId="2" borderId="28" xfId="1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 wrapText="1"/>
    </xf>
    <xf numFmtId="43" fontId="0" fillId="0" borderId="0" xfId="0" applyNumberFormat="1"/>
    <xf numFmtId="43" fontId="0" fillId="0" borderId="0" xfId="31" applyFont="1"/>
    <xf numFmtId="0" fontId="4" fillId="2" borderId="33" xfId="0" applyFont="1" applyFill="1" applyBorder="1" applyAlignment="1">
      <alignment horizontal="center" vertical="center"/>
    </xf>
    <xf numFmtId="43" fontId="6" fillId="3" borderId="6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left" vertical="center" wrapText="1"/>
    </xf>
    <xf numFmtId="43" fontId="4" fillId="2" borderId="30" xfId="1" applyFont="1" applyFill="1" applyBorder="1" applyAlignment="1">
      <alignment horizontal="center" vertical="center"/>
    </xf>
    <xf numFmtId="43" fontId="4" fillId="2" borderId="31" xfId="1" applyFont="1" applyFill="1" applyBorder="1" applyAlignment="1">
      <alignment horizontal="center" vertical="center"/>
    </xf>
    <xf numFmtId="43" fontId="4" fillId="2" borderId="10" xfId="1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>
      <alignment horizontal="left" vertical="center" wrapText="1"/>
    </xf>
    <xf numFmtId="43" fontId="4" fillId="2" borderId="2" xfId="0" applyNumberFormat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 wrapText="1"/>
    </xf>
    <xf numFmtId="43" fontId="16" fillId="2" borderId="0" xfId="1" applyFont="1" applyFill="1" applyBorder="1" applyAlignment="1">
      <alignment horizontal="left" wrapText="1"/>
    </xf>
    <xf numFmtId="0" fontId="8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vertical="center" wrapText="1"/>
    </xf>
    <xf numFmtId="43" fontId="4" fillId="2" borderId="0" xfId="1" applyFont="1" applyFill="1" applyBorder="1" applyAlignment="1">
      <alignment vertical="center" wrapText="1"/>
    </xf>
    <xf numFmtId="43" fontId="4" fillId="2" borderId="1" xfId="1" applyFont="1" applyFill="1" applyBorder="1" applyAlignment="1">
      <alignment horizontal="left" vertical="center" wrapText="1"/>
    </xf>
    <xf numFmtId="43" fontId="4" fillId="2" borderId="2" xfId="1" applyFont="1" applyFill="1" applyBorder="1" applyAlignment="1">
      <alignment horizontal="left" vertical="center" wrapText="1"/>
    </xf>
    <xf numFmtId="43" fontId="4" fillId="2" borderId="0" xfId="31" applyFont="1" applyFill="1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3" fontId="16" fillId="2" borderId="0" xfId="31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43" fontId="24" fillId="2" borderId="2" xfId="1" applyFont="1" applyFill="1" applyBorder="1" applyAlignment="1">
      <alignment vertical="center"/>
    </xf>
    <xf numFmtId="0" fontId="7" fillId="2" borderId="0" xfId="0" applyFont="1" applyFill="1"/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23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</cellXfs>
  <cellStyles count="32">
    <cellStyle name="Millares" xfId="31" builtinId="3"/>
    <cellStyle name="Millares 10" xfId="28" xr:uid="{A1812EB1-099C-489F-BD4B-9331174850D3}"/>
    <cellStyle name="Millares 11" xfId="30" xr:uid="{88F5A490-33E3-4A80-AE0D-3501E7C5C4BB}"/>
    <cellStyle name="Millares 2" xfId="1" xr:uid="{00000000-0005-0000-0000-000000000000}"/>
    <cellStyle name="Millares 3" xfId="11" xr:uid="{1BDAD391-44FC-4964-B27B-A5515593D34A}"/>
    <cellStyle name="Millares 4" xfId="8" xr:uid="{5A81BC19-F01F-445B-B575-807984D75921}"/>
    <cellStyle name="Millares 5" xfId="13" xr:uid="{16FC1B75-CD4C-490E-84A7-8342D2158C6F}"/>
    <cellStyle name="Millares 5 2" xfId="16" xr:uid="{2F73F8E3-B082-4DA0-8FA3-B55F13BB6471}"/>
    <cellStyle name="Millares 6" xfId="19" xr:uid="{1116D646-CFE8-4986-BBFE-64E57CB9F20E}"/>
    <cellStyle name="Millares 7" xfId="21" xr:uid="{20837FE3-AA14-4EA1-ACD4-34B18081A379}"/>
    <cellStyle name="Millares 8" xfId="24" xr:uid="{429BCF8A-9451-4AC4-BEE5-9B79D326D47F}"/>
    <cellStyle name="Millares 9" xfId="26" xr:uid="{E3F93CF0-C688-4E40-91CC-7CEAB7D6212E}"/>
    <cellStyle name="Normal" xfId="0" builtinId="0"/>
    <cellStyle name="Normal 10" xfId="25" xr:uid="{A986ACD0-4919-4E76-B287-9DC1636B4AC6}"/>
    <cellStyle name="Normal 11" xfId="27" xr:uid="{A0A5454F-E5B6-4470-A4BE-66E01B2937CC}"/>
    <cellStyle name="Normal 12" xfId="29" xr:uid="{46109871-8CB9-4BCE-B093-BBF2C9065398}"/>
    <cellStyle name="Normal 2" xfId="2" xr:uid="{00000000-0005-0000-0000-000002000000}"/>
    <cellStyle name="Normal 2 2" xfId="5" xr:uid="{355A2DC8-FDAF-475D-A151-371C4C35D1FE}"/>
    <cellStyle name="Normal 2 2 2" xfId="7" xr:uid="{3F33EDD5-9E72-45A2-A7F5-1036D312FACB}"/>
    <cellStyle name="Normal 2 3" xfId="6" xr:uid="{21AB0A06-95D1-48DC-BF56-46F9FE9D9067}"/>
    <cellStyle name="Normal 2 4" xfId="3" xr:uid="{49F575B4-BF73-497E-8529-01B56A6E4F85}"/>
    <cellStyle name="Normal 2 5" xfId="4" xr:uid="{2BA7B32C-4C0B-406E-99D7-EAFD96E51590}"/>
    <cellStyle name="Normal 3" xfId="10" xr:uid="{07DED5AB-F986-4854-8208-5CC92AA045D4}"/>
    <cellStyle name="Normal 3 2" xfId="14" xr:uid="{84117EFB-0886-44B8-803E-3CD6EDB11B62}"/>
    <cellStyle name="Normal 3 2 2" xfId="17" xr:uid="{23DBD80E-92B1-412B-BE6E-EBCDCFBEA908}"/>
    <cellStyle name="Normal 4" xfId="9" xr:uid="{5C654990-97D3-452C-BBCA-23C67D22AAA4}"/>
    <cellStyle name="Normal 5" xfId="12" xr:uid="{3417A255-E8DE-41D2-B6BB-61E050158AC4}"/>
    <cellStyle name="Normal 5 2" xfId="15" xr:uid="{1B339846-3A99-4CD1-9CFC-5B7BCE2D483C}"/>
    <cellStyle name="Normal 6" xfId="18" xr:uid="{8156C610-5D69-4FDE-BF57-2C0AD3398769}"/>
    <cellStyle name="Normal 7" xfId="20" xr:uid="{663E8CD3-97DD-4DD2-B2A4-58CB9167116C}"/>
    <cellStyle name="Normal 8" xfId="22" xr:uid="{72E57060-E750-4048-859E-9FF84F3029A5}"/>
    <cellStyle name="Normal 9" xfId="23" xr:uid="{D9CDADF9-F41E-4735-915D-72B12F08C5A6}"/>
  </cellStyles>
  <dxfs count="0"/>
  <tableStyles count="1" defaultTableStyle="TableStyleMedium2" defaultPivotStyle="PivotStyleLight16">
    <tableStyle name="Estilo de tabla 1" pivot="0" count="0" xr9:uid="{031CC914-DB70-4736-842E-A824026707C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727058</xdr:colOff>
      <xdr:row>0</xdr:row>
      <xdr:rowOff>0</xdr:rowOff>
    </xdr:from>
    <xdr:to>
      <xdr:col>1</xdr:col>
      <xdr:colOff>2419894</xdr:colOff>
      <xdr:row>3</xdr:row>
      <xdr:rowOff>115055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9701" y="0"/>
          <a:ext cx="1681406" cy="1067555"/>
        </a:xfrm>
        <a:prstGeom prst="rect">
          <a:avLst/>
        </a:prstGeom>
      </xdr:spPr>
    </xdr:pic>
    <xdr:clientData/>
  </xdr:twoCellAnchor>
  <xdr:twoCellAnchor editAs="oneCell">
    <xdr:from>
      <xdr:col>3</xdr:col>
      <xdr:colOff>602115</xdr:colOff>
      <xdr:row>347</xdr:row>
      <xdr:rowOff>139472</xdr:rowOff>
    </xdr:from>
    <xdr:to>
      <xdr:col>3</xdr:col>
      <xdr:colOff>1998983</xdr:colOff>
      <xdr:row>350</xdr:row>
      <xdr:rowOff>244204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1F6AB6-596F-5D7F-5F66-78F413CFA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2115" y="167779472"/>
          <a:ext cx="1408298" cy="13810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316442</xdr:colOff>
      <xdr:row>0</xdr:row>
      <xdr:rowOff>0</xdr:rowOff>
    </xdr:from>
    <xdr:to>
      <xdr:col>2</xdr:col>
      <xdr:colOff>1694775</xdr:colOff>
      <xdr:row>4</xdr:row>
      <xdr:rowOff>153458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FF8435-D002-4DC5-8F87-B78B272B7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442" y="0"/>
          <a:ext cx="1814578" cy="1122891"/>
        </a:xfrm>
        <a:prstGeom prst="rect">
          <a:avLst/>
        </a:prstGeom>
      </xdr:spPr>
    </xdr:pic>
    <xdr:clientData/>
  </xdr:twoCellAnchor>
  <xdr:twoCellAnchor editAs="oneCell">
    <xdr:from>
      <xdr:col>4</xdr:col>
      <xdr:colOff>912019</xdr:colOff>
      <xdr:row>125</xdr:row>
      <xdr:rowOff>216694</xdr:rowOff>
    </xdr:from>
    <xdr:to>
      <xdr:col>4</xdr:col>
      <xdr:colOff>2320317</xdr:colOff>
      <xdr:row>130</xdr:row>
      <xdr:rowOff>151000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C16A0C-87E0-2F61-159E-7032F520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0175" y="36209288"/>
          <a:ext cx="1408298" cy="14225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714899</xdr:colOff>
      <xdr:row>0</xdr:row>
      <xdr:rowOff>362160</xdr:rowOff>
    </xdr:from>
    <xdr:to>
      <xdr:col>2</xdr:col>
      <xdr:colOff>60880</xdr:colOff>
      <xdr:row>3</xdr:row>
      <xdr:rowOff>173316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0328" y="362160"/>
          <a:ext cx="1937053" cy="1022192"/>
        </a:xfrm>
        <a:prstGeom prst="rect">
          <a:avLst/>
        </a:prstGeom>
      </xdr:spPr>
    </xdr:pic>
    <xdr:clientData/>
  </xdr:twoCellAnchor>
  <xdr:twoCellAnchor editAs="oneCell">
    <xdr:from>
      <xdr:col>3</xdr:col>
      <xdr:colOff>883467</xdr:colOff>
      <xdr:row>273</xdr:row>
      <xdr:rowOff>265248</xdr:rowOff>
    </xdr:from>
    <xdr:to>
      <xdr:col>3</xdr:col>
      <xdr:colOff>2288918</xdr:colOff>
      <xdr:row>276</xdr:row>
      <xdr:rowOff>165057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11D36D-35C8-0EE0-0C10-FDD7A9F1B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8717" y="135767898"/>
          <a:ext cx="1405451" cy="14142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632990</xdr:colOff>
      <xdr:row>0</xdr:row>
      <xdr:rowOff>0</xdr:rowOff>
    </xdr:from>
    <xdr:to>
      <xdr:col>1</xdr:col>
      <xdr:colOff>2516861</xdr:colOff>
      <xdr:row>4</xdr:row>
      <xdr:rowOff>136617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0030" y="152400"/>
          <a:ext cx="1883871" cy="1121661"/>
        </a:xfrm>
        <a:prstGeom prst="rect">
          <a:avLst/>
        </a:prstGeom>
      </xdr:spPr>
    </xdr:pic>
    <xdr:clientData/>
  </xdr:twoCellAnchor>
  <xdr:twoCellAnchor editAs="oneCell">
    <xdr:from>
      <xdr:col>3</xdr:col>
      <xdr:colOff>1125435</xdr:colOff>
      <xdr:row>21</xdr:row>
      <xdr:rowOff>320853</xdr:rowOff>
    </xdr:from>
    <xdr:to>
      <xdr:col>3</xdr:col>
      <xdr:colOff>2529923</xdr:colOff>
      <xdr:row>24</xdr:row>
      <xdr:rowOff>169926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1691F-8734-EE63-A27C-EF4A0CB18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9906" y="8814912"/>
          <a:ext cx="1412108" cy="136948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727058</xdr:colOff>
      <xdr:row>0</xdr:row>
      <xdr:rowOff>0</xdr:rowOff>
    </xdr:from>
    <xdr:to>
      <xdr:col>1</xdr:col>
      <xdr:colOff>2412274</xdr:colOff>
      <xdr:row>3</xdr:row>
      <xdr:rowOff>115055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E45BB5-EC66-4B97-A9E5-F57F770C2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5683" y="0"/>
          <a:ext cx="1685216" cy="1058030"/>
        </a:xfrm>
        <a:prstGeom prst="rect">
          <a:avLst/>
        </a:prstGeom>
      </xdr:spPr>
    </xdr:pic>
    <xdr:clientData/>
  </xdr:twoCellAnchor>
  <xdr:twoCellAnchor editAs="oneCell">
    <xdr:from>
      <xdr:col>3</xdr:col>
      <xdr:colOff>1091972</xdr:colOff>
      <xdr:row>10</xdr:row>
      <xdr:rowOff>85043</xdr:rowOff>
    </xdr:from>
    <xdr:to>
      <xdr:col>3</xdr:col>
      <xdr:colOff>2496460</xdr:colOff>
      <xdr:row>13</xdr:row>
      <xdr:rowOff>184061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65DBF6-E75F-4626-8E8D-5725FF305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88365" y="4235222"/>
          <a:ext cx="1404488" cy="1405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000187"/>
  <sheetViews>
    <sheetView showGridLines="0" zoomScaleNormal="100" zoomScaleSheetLayoutView="55" workbookViewId="0">
      <pane xSplit="4" ySplit="3" topLeftCell="L307" activePane="bottomRight" state="frozen"/>
      <selection pane="topRight" activeCell="E1" sqref="E1"/>
      <selection pane="bottomLeft" activeCell="A4" sqref="A4"/>
      <selection pane="bottomRight" activeCell="P1" sqref="P1:P1048576"/>
    </sheetView>
  </sheetViews>
  <sheetFormatPr baseColWidth="10" defaultColWidth="11.42578125" defaultRowHeight="35.1" customHeight="1" x14ac:dyDescent="0.2"/>
  <cols>
    <col min="1" max="1" width="7.140625" style="113" customWidth="1"/>
    <col min="2" max="2" width="41.140625" style="144" customWidth="1"/>
    <col min="3" max="3" width="9.140625" style="113" customWidth="1"/>
    <col min="4" max="4" width="32.28515625" style="144" customWidth="1"/>
    <col min="5" max="5" width="29.28515625" style="144" customWidth="1"/>
    <col min="6" max="6" width="21.7109375" style="111" customWidth="1"/>
    <col min="7" max="7" width="20.28515625" style="110" customWidth="1"/>
    <col min="8" max="8" width="24" style="110" customWidth="1"/>
    <col min="9" max="9" width="23.140625" style="110" customWidth="1"/>
    <col min="10" max="10" width="21.5703125" style="110" bestFit="1" customWidth="1"/>
    <col min="11" max="11" width="24" style="110" customWidth="1"/>
    <col min="12" max="12" width="22.28515625" style="110" customWidth="1"/>
    <col min="13" max="13" width="19" style="110" customWidth="1"/>
    <col min="14" max="15" width="22.85546875" style="110" customWidth="1"/>
    <col min="16" max="16384" width="11.42578125" style="110"/>
  </cols>
  <sheetData>
    <row r="1" spans="1:51" ht="26.25" customHeight="1" x14ac:dyDescent="0.2">
      <c r="A1" s="337" t="s">
        <v>328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</row>
    <row r="2" spans="1:51" ht="26.25" customHeight="1" x14ac:dyDescent="0.2">
      <c r="A2" s="338" t="s">
        <v>332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</row>
    <row r="3" spans="1:51" ht="21.75" customHeight="1" x14ac:dyDescent="0.2">
      <c r="A3" s="339" t="s">
        <v>650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</row>
    <row r="4" spans="1:51" ht="35.1" customHeight="1" thickBot="1" x14ac:dyDescent="0.25">
      <c r="A4" s="138"/>
      <c r="B4" s="138"/>
      <c r="C4" s="106"/>
      <c r="D4" s="143"/>
      <c r="E4" s="143"/>
      <c r="F4" s="106"/>
    </row>
    <row r="5" spans="1:51" ht="35.1" customHeight="1" thickBot="1" x14ac:dyDescent="0.25">
      <c r="A5" s="209" t="s">
        <v>434</v>
      </c>
      <c r="B5" s="210"/>
      <c r="C5" s="209"/>
      <c r="D5" s="210"/>
      <c r="E5" s="210"/>
      <c r="F5" s="211"/>
      <c r="G5" s="340" t="s">
        <v>96</v>
      </c>
      <c r="H5" s="341"/>
      <c r="I5" s="341"/>
      <c r="J5" s="342"/>
      <c r="K5" s="95"/>
      <c r="L5" s="149"/>
      <c r="M5" s="149"/>
      <c r="N5" s="149"/>
      <c r="O5" s="149"/>
    </row>
    <row r="6" spans="1:51" s="212" customFormat="1" ht="35.1" customHeight="1" thickBot="1" x14ac:dyDescent="0.25">
      <c r="A6" s="19" t="s">
        <v>0</v>
      </c>
      <c r="B6" s="19" t="s">
        <v>296</v>
      </c>
      <c r="C6" s="19" t="s">
        <v>340</v>
      </c>
      <c r="D6" s="19" t="s">
        <v>352</v>
      </c>
      <c r="E6" s="19" t="s">
        <v>90</v>
      </c>
      <c r="F6" s="77" t="s">
        <v>99</v>
      </c>
      <c r="G6" s="78" t="s">
        <v>1</v>
      </c>
      <c r="H6" s="79" t="s">
        <v>2</v>
      </c>
      <c r="I6" s="82" t="s">
        <v>439</v>
      </c>
      <c r="J6" s="83" t="s">
        <v>440</v>
      </c>
      <c r="K6" s="80" t="s">
        <v>441</v>
      </c>
      <c r="L6" s="21" t="s">
        <v>91</v>
      </c>
      <c r="M6" s="21" t="s">
        <v>93</v>
      </c>
      <c r="N6" s="21" t="s">
        <v>3</v>
      </c>
      <c r="O6" s="21" t="s">
        <v>92</v>
      </c>
    </row>
    <row r="7" spans="1:51" s="210" customFormat="1" ht="35.1" customHeight="1" thickBot="1" x14ac:dyDescent="0.25">
      <c r="A7" s="213" t="s">
        <v>201</v>
      </c>
      <c r="B7" s="214"/>
      <c r="C7" s="214"/>
      <c r="D7" s="214"/>
      <c r="E7" s="214"/>
      <c r="F7" s="214"/>
      <c r="G7" s="215"/>
      <c r="H7" s="215"/>
      <c r="I7" s="215"/>
      <c r="J7" s="215"/>
      <c r="K7" s="214"/>
      <c r="L7" s="214"/>
      <c r="M7" s="214"/>
      <c r="N7" s="214"/>
      <c r="O7" s="216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</row>
    <row r="8" spans="1:51" s="223" customFormat="1" ht="35.1" customHeight="1" x14ac:dyDescent="0.2">
      <c r="A8" s="218">
        <v>1</v>
      </c>
      <c r="B8" s="219" t="s">
        <v>200</v>
      </c>
      <c r="C8" s="218" t="s">
        <v>338</v>
      </c>
      <c r="D8" s="219" t="s">
        <v>196</v>
      </c>
      <c r="E8" s="88" t="s">
        <v>353</v>
      </c>
      <c r="F8" s="220">
        <v>245000</v>
      </c>
      <c r="G8" s="220">
        <f t="shared" ref="G8:G16" si="0">F8*2.87%</f>
        <v>7031.5</v>
      </c>
      <c r="H8" s="221">
        <v>7059.7920000000004</v>
      </c>
      <c r="I8" s="220">
        <v>1919.78</v>
      </c>
      <c r="J8" s="220">
        <f t="shared" ref="J8:J16" si="1">+G8+H8+I8</f>
        <v>16011.072000000002</v>
      </c>
      <c r="K8" s="220">
        <f t="shared" ref="K8:K16" si="2">+F8-J8</f>
        <v>228988.92799999999</v>
      </c>
      <c r="L8" s="220">
        <f>+IF(K8*12&lt;=416220.01,0,IF(K8*12&lt;=624329.01,(((K8*12-416220.01)*0.15)/12),IF((K8*12&lt;=867123.01),(31216+0.2*(K8*12-624329.01))/12,((79776+0.25*(K8*12-867123.01))/12))))</f>
        <v>45830.169291666673</v>
      </c>
      <c r="M8" s="222">
        <v>25</v>
      </c>
      <c r="N8" s="220">
        <f t="shared" ref="N8:N16" si="3">+M8+I8+H8+G8+L8</f>
        <v>61866.241291666673</v>
      </c>
      <c r="O8" s="222">
        <f t="shared" ref="O8:O16" si="4">+F8-N8</f>
        <v>183133.75870833333</v>
      </c>
    </row>
    <row r="9" spans="1:51" s="224" customFormat="1" ht="35.1" customHeight="1" x14ac:dyDescent="0.2">
      <c r="A9" s="73">
        <v>2</v>
      </c>
      <c r="B9" s="72" t="s">
        <v>197</v>
      </c>
      <c r="C9" s="73" t="s">
        <v>339</v>
      </c>
      <c r="D9" s="72" t="s">
        <v>82</v>
      </c>
      <c r="E9" s="88" t="s">
        <v>519</v>
      </c>
      <c r="F9" s="221">
        <v>140000</v>
      </c>
      <c r="G9" s="221">
        <f t="shared" si="0"/>
        <v>4018</v>
      </c>
      <c r="H9" s="221">
        <f t="shared" ref="H9:H16" si="5">+F9*3.04%</f>
        <v>4256</v>
      </c>
      <c r="I9" s="220">
        <v>1919.78</v>
      </c>
      <c r="J9" s="220">
        <f t="shared" si="1"/>
        <v>10193.780000000001</v>
      </c>
      <c r="K9" s="220">
        <f t="shared" si="2"/>
        <v>129806.22</v>
      </c>
      <c r="L9" s="220">
        <f t="shared" ref="L9:L16" si="6">+IF(K9*12&lt;=416220.01,0,IF(K9*12&lt;=624329.01,(((K9*12-416220.01)*0.15)/12),IF((K9*12&lt;=867123.01),(31216+0.2*(K9*12-624329.01))/12,((79776+0.25*(K9*12-867123.01))/12))))</f>
        <v>21034.492291666669</v>
      </c>
      <c r="M9" s="226">
        <v>25</v>
      </c>
      <c r="N9" s="220">
        <f t="shared" si="3"/>
        <v>31253.272291666668</v>
      </c>
      <c r="O9" s="222">
        <f t="shared" si="4"/>
        <v>108746.72770833333</v>
      </c>
    </row>
    <row r="10" spans="1:51" s="224" customFormat="1" ht="35.1" customHeight="1" x14ac:dyDescent="0.2">
      <c r="A10" s="73">
        <v>3</v>
      </c>
      <c r="B10" s="219" t="s">
        <v>482</v>
      </c>
      <c r="C10" s="218" t="s">
        <v>339</v>
      </c>
      <c r="D10" s="225" t="s">
        <v>624</v>
      </c>
      <c r="E10" s="72" t="s">
        <v>519</v>
      </c>
      <c r="F10" s="220">
        <v>50000</v>
      </c>
      <c r="G10" s="220">
        <f>F10*2.87%</f>
        <v>1435</v>
      </c>
      <c r="H10" s="220">
        <f>+F10*3.04%</f>
        <v>1520</v>
      </c>
      <c r="I10" s="220"/>
      <c r="J10" s="220">
        <f>+G10+H10+I10</f>
        <v>2955</v>
      </c>
      <c r="K10" s="220">
        <f>+F10-J10</f>
        <v>47045</v>
      </c>
      <c r="L10" s="220">
        <f t="shared" si="6"/>
        <v>1853.9998749999997</v>
      </c>
      <c r="M10" s="226">
        <v>225</v>
      </c>
      <c r="N10" s="220">
        <f t="shared" si="3"/>
        <v>5033.9998749999995</v>
      </c>
      <c r="O10" s="226">
        <f t="shared" si="4"/>
        <v>44966.000124999999</v>
      </c>
    </row>
    <row r="11" spans="1:51" s="224" customFormat="1" ht="35.1" customHeight="1" x14ac:dyDescent="0.2">
      <c r="A11" s="218">
        <f>+A10+1</f>
        <v>4</v>
      </c>
      <c r="B11" s="219" t="s">
        <v>198</v>
      </c>
      <c r="C11" s="218" t="s">
        <v>339</v>
      </c>
      <c r="D11" s="225" t="s">
        <v>67</v>
      </c>
      <c r="E11" s="72" t="s">
        <v>98</v>
      </c>
      <c r="F11" s="220">
        <v>41500</v>
      </c>
      <c r="G11" s="220">
        <f t="shared" si="0"/>
        <v>1191.05</v>
      </c>
      <c r="H11" s="220">
        <f t="shared" si="5"/>
        <v>1261.5999999999999</v>
      </c>
      <c r="I11" s="220"/>
      <c r="J11" s="220">
        <f t="shared" si="1"/>
        <v>2452.6499999999996</v>
      </c>
      <c r="K11" s="220">
        <f t="shared" si="2"/>
        <v>39047.35</v>
      </c>
      <c r="L11" s="220">
        <f t="shared" si="6"/>
        <v>654.35237499999926</v>
      </c>
      <c r="M11" s="226">
        <v>5351.9</v>
      </c>
      <c r="N11" s="220">
        <f t="shared" si="3"/>
        <v>8458.9023749999997</v>
      </c>
      <c r="O11" s="226">
        <f t="shared" si="4"/>
        <v>33041.097625000002</v>
      </c>
    </row>
    <row r="12" spans="1:51" s="224" customFormat="1" ht="35.1" customHeight="1" x14ac:dyDescent="0.2">
      <c r="A12" s="73">
        <v>6</v>
      </c>
      <c r="B12" s="219" t="s">
        <v>199</v>
      </c>
      <c r="C12" s="218" t="s">
        <v>339</v>
      </c>
      <c r="D12" s="225" t="s">
        <v>67</v>
      </c>
      <c r="E12" s="72" t="s">
        <v>98</v>
      </c>
      <c r="F12" s="220">
        <v>41500</v>
      </c>
      <c r="G12" s="220">
        <f t="shared" si="0"/>
        <v>1191.05</v>
      </c>
      <c r="H12" s="220">
        <f t="shared" si="5"/>
        <v>1261.5999999999999</v>
      </c>
      <c r="I12" s="220"/>
      <c r="J12" s="220">
        <f t="shared" si="1"/>
        <v>2452.6499999999996</v>
      </c>
      <c r="K12" s="220">
        <f t="shared" si="2"/>
        <v>39047.35</v>
      </c>
      <c r="L12" s="220">
        <f t="shared" si="6"/>
        <v>654.35237499999926</v>
      </c>
      <c r="M12" s="226">
        <v>12937.48</v>
      </c>
      <c r="N12" s="220">
        <f t="shared" si="3"/>
        <v>16044.482374999998</v>
      </c>
      <c r="O12" s="226">
        <f t="shared" si="4"/>
        <v>25455.517625</v>
      </c>
    </row>
    <row r="13" spans="1:51" s="224" customFormat="1" ht="35.1" customHeight="1" x14ac:dyDescent="0.2">
      <c r="A13" s="218">
        <f t="shared" ref="A13:A16" si="7">+A12+1</f>
        <v>7</v>
      </c>
      <c r="B13" s="219" t="s">
        <v>444</v>
      </c>
      <c r="C13" s="218" t="s">
        <v>339</v>
      </c>
      <c r="D13" s="225" t="s">
        <v>67</v>
      </c>
      <c r="E13" s="72" t="s">
        <v>97</v>
      </c>
      <c r="F13" s="220">
        <v>41500</v>
      </c>
      <c r="G13" s="220">
        <f t="shared" si="0"/>
        <v>1191.05</v>
      </c>
      <c r="H13" s="220">
        <f t="shared" si="5"/>
        <v>1261.5999999999999</v>
      </c>
      <c r="I13" s="220"/>
      <c r="J13" s="220">
        <f t="shared" si="1"/>
        <v>2452.6499999999996</v>
      </c>
      <c r="K13" s="220">
        <f t="shared" si="2"/>
        <v>39047.35</v>
      </c>
      <c r="L13" s="220">
        <f t="shared" si="6"/>
        <v>654.35237499999926</v>
      </c>
      <c r="M13" s="226">
        <v>3290.29</v>
      </c>
      <c r="N13" s="220">
        <f t="shared" si="3"/>
        <v>6397.2923749999991</v>
      </c>
      <c r="O13" s="226">
        <f t="shared" si="4"/>
        <v>35102.707625000003</v>
      </c>
    </row>
    <row r="14" spans="1:51" s="224" customFormat="1" ht="35.1" customHeight="1" x14ac:dyDescent="0.2">
      <c r="A14" s="218">
        <f t="shared" si="7"/>
        <v>8</v>
      </c>
      <c r="B14" s="219" t="s">
        <v>178</v>
      </c>
      <c r="C14" s="218" t="s">
        <v>339</v>
      </c>
      <c r="D14" s="225" t="s">
        <v>67</v>
      </c>
      <c r="E14" s="72" t="s">
        <v>97</v>
      </c>
      <c r="F14" s="220">
        <v>38000</v>
      </c>
      <c r="G14" s="220">
        <f t="shared" si="0"/>
        <v>1090.5999999999999</v>
      </c>
      <c r="H14" s="220">
        <f t="shared" si="5"/>
        <v>1155.2</v>
      </c>
      <c r="I14" s="220"/>
      <c r="J14" s="220">
        <f t="shared" si="1"/>
        <v>2245.8000000000002</v>
      </c>
      <c r="K14" s="220">
        <f t="shared" si="2"/>
        <v>35754.199999999997</v>
      </c>
      <c r="L14" s="220">
        <f t="shared" si="6"/>
        <v>160.37987499999943</v>
      </c>
      <c r="M14" s="226">
        <v>11036.03</v>
      </c>
      <c r="N14" s="220">
        <f t="shared" si="3"/>
        <v>13442.209875</v>
      </c>
      <c r="O14" s="226">
        <f t="shared" si="4"/>
        <v>24557.790125</v>
      </c>
    </row>
    <row r="15" spans="1:51" s="224" customFormat="1" ht="35.1" customHeight="1" x14ac:dyDescent="0.2">
      <c r="A15" s="218">
        <f t="shared" si="7"/>
        <v>9</v>
      </c>
      <c r="B15" s="219" t="s">
        <v>614</v>
      </c>
      <c r="C15" s="218" t="s">
        <v>339</v>
      </c>
      <c r="D15" s="225" t="s">
        <v>67</v>
      </c>
      <c r="E15" s="72" t="s">
        <v>97</v>
      </c>
      <c r="F15" s="220">
        <v>38000</v>
      </c>
      <c r="G15" s="220">
        <f t="shared" si="0"/>
        <v>1090.5999999999999</v>
      </c>
      <c r="H15" s="220">
        <f t="shared" si="5"/>
        <v>1155.2</v>
      </c>
      <c r="I15" s="220"/>
      <c r="J15" s="220">
        <f t="shared" si="1"/>
        <v>2245.8000000000002</v>
      </c>
      <c r="K15" s="220">
        <f t="shared" si="2"/>
        <v>35754.199999999997</v>
      </c>
      <c r="L15" s="220">
        <f t="shared" si="6"/>
        <v>160.37987499999943</v>
      </c>
      <c r="M15" s="226">
        <v>1290.29</v>
      </c>
      <c r="N15" s="220">
        <f t="shared" si="3"/>
        <v>3696.4698749999993</v>
      </c>
      <c r="O15" s="226">
        <f t="shared" si="4"/>
        <v>34303.530124999997</v>
      </c>
    </row>
    <row r="16" spans="1:51" s="224" customFormat="1" ht="35.1" customHeight="1" x14ac:dyDescent="0.2">
      <c r="A16" s="218">
        <f t="shared" si="7"/>
        <v>10</v>
      </c>
      <c r="B16" s="219" t="s">
        <v>615</v>
      </c>
      <c r="C16" s="218" t="s">
        <v>339</v>
      </c>
      <c r="D16" s="225" t="s">
        <v>67</v>
      </c>
      <c r="E16" s="72" t="s">
        <v>97</v>
      </c>
      <c r="F16" s="220">
        <v>38000</v>
      </c>
      <c r="G16" s="220">
        <f t="shared" si="0"/>
        <v>1090.5999999999999</v>
      </c>
      <c r="H16" s="220">
        <f t="shared" si="5"/>
        <v>1155.2</v>
      </c>
      <c r="I16" s="220"/>
      <c r="J16" s="220">
        <f t="shared" si="1"/>
        <v>2245.8000000000002</v>
      </c>
      <c r="K16" s="220">
        <f t="shared" si="2"/>
        <v>35754.199999999997</v>
      </c>
      <c r="L16" s="220">
        <f t="shared" si="6"/>
        <v>160.37987499999943</v>
      </c>
      <c r="M16" s="226">
        <v>7079.11</v>
      </c>
      <c r="N16" s="220">
        <f t="shared" si="3"/>
        <v>9485.2898749999986</v>
      </c>
      <c r="O16" s="226">
        <f t="shared" si="4"/>
        <v>28514.710125000001</v>
      </c>
    </row>
    <row r="17" spans="1:15" s="224" customFormat="1" ht="35.1" customHeight="1" x14ac:dyDescent="0.2">
      <c r="A17" s="228" t="s">
        <v>100</v>
      </c>
      <c r="B17" s="229"/>
      <c r="C17" s="229"/>
      <c r="D17" s="229"/>
      <c r="E17" s="229"/>
      <c r="F17" s="230">
        <f t="shared" ref="F17:O17" si="8">SUM(F8:F16)</f>
        <v>673500</v>
      </c>
      <c r="G17" s="230">
        <f t="shared" si="8"/>
        <v>19329.449999999993</v>
      </c>
      <c r="H17" s="230">
        <f t="shared" si="8"/>
        <v>20086.192000000003</v>
      </c>
      <c r="I17" s="230">
        <f t="shared" si="8"/>
        <v>3839.56</v>
      </c>
      <c r="J17" s="230">
        <f t="shared" si="8"/>
        <v>43255.202000000012</v>
      </c>
      <c r="K17" s="230">
        <f t="shared" si="8"/>
        <v>630244.79799999984</v>
      </c>
      <c r="L17" s="230">
        <f t="shared" si="8"/>
        <v>71162.858208333331</v>
      </c>
      <c r="M17" s="230">
        <f t="shared" si="8"/>
        <v>41260.1</v>
      </c>
      <c r="N17" s="230">
        <f t="shared" si="8"/>
        <v>155678.16020833334</v>
      </c>
      <c r="O17" s="230">
        <f t="shared" si="8"/>
        <v>517821.8397916666</v>
      </c>
    </row>
    <row r="18" spans="1:15" s="224" customFormat="1" ht="35.1" customHeight="1" thickBot="1" x14ac:dyDescent="0.25">
      <c r="A18" s="232"/>
      <c r="B18" s="147"/>
      <c r="C18" s="208"/>
      <c r="D18" s="233"/>
      <c r="E18" s="233"/>
      <c r="F18" s="148"/>
      <c r="G18" s="148"/>
      <c r="H18" s="148"/>
      <c r="I18" s="148"/>
      <c r="J18" s="148"/>
      <c r="K18" s="148"/>
      <c r="L18" s="148"/>
      <c r="M18" s="148"/>
      <c r="N18" s="148"/>
      <c r="O18" s="148"/>
    </row>
    <row r="19" spans="1:15" s="224" customFormat="1" ht="35.1" customHeight="1" thickBot="1" x14ac:dyDescent="0.25">
      <c r="A19" s="234" t="s">
        <v>123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6"/>
    </row>
    <row r="20" spans="1:15" s="231" customFormat="1" ht="35.1" customHeight="1" x14ac:dyDescent="0.2">
      <c r="A20" s="73">
        <f>+A16+1</f>
        <v>11</v>
      </c>
      <c r="B20" s="219" t="s">
        <v>153</v>
      </c>
      <c r="C20" s="218" t="s">
        <v>339</v>
      </c>
      <c r="D20" s="225" t="s">
        <v>84</v>
      </c>
      <c r="E20" s="72" t="s">
        <v>98</v>
      </c>
      <c r="F20" s="220">
        <v>230000</v>
      </c>
      <c r="G20" s="220">
        <f>F20*2.87%</f>
        <v>6601</v>
      </c>
      <c r="H20" s="220">
        <v>6992</v>
      </c>
      <c r="I20" s="69">
        <v>1919.78</v>
      </c>
      <c r="J20" s="69">
        <f>+G20+H20+I20</f>
        <v>15512.78</v>
      </c>
      <c r="K20" s="69">
        <f>+F20-J20</f>
        <v>214487.22</v>
      </c>
      <c r="L20" s="69">
        <f>+IF(K20*12&lt;=416220.01,0,IF(K20*12&lt;=624329.01,(((K20*12-416220.01)*0.15)/12),IF((K20*12&lt;=867123.01),(31216+0.2*(K20*12-624329.01))/12,((79776+0.25*(K20*12-867123.01))/12))))</f>
        <v>42204.742291666669</v>
      </c>
      <c r="M20" s="226">
        <v>25</v>
      </c>
      <c r="N20" s="220">
        <f>+M20+I20+H20+G20+L20</f>
        <v>57742.522291666668</v>
      </c>
      <c r="O20" s="222">
        <f>+F20-N20</f>
        <v>172257.47770833335</v>
      </c>
    </row>
    <row r="21" spans="1:15" s="211" customFormat="1" ht="35.1" customHeight="1" x14ac:dyDescent="0.2">
      <c r="A21" s="73">
        <f>+A20+1</f>
        <v>12</v>
      </c>
      <c r="B21" s="72" t="s">
        <v>37</v>
      </c>
      <c r="C21" s="73" t="s">
        <v>339</v>
      </c>
      <c r="D21" s="238" t="s">
        <v>570</v>
      </c>
      <c r="E21" s="72" t="s">
        <v>98</v>
      </c>
      <c r="F21" s="221">
        <v>120000</v>
      </c>
      <c r="G21" s="221">
        <f>F21*2.87%</f>
        <v>3444</v>
      </c>
      <c r="H21" s="68">
        <f>+F21*3.04%</f>
        <v>3648</v>
      </c>
      <c r="I21" s="68"/>
      <c r="J21" s="69">
        <f>+G21+H21+I21</f>
        <v>7092</v>
      </c>
      <c r="K21" s="69">
        <f>+F21-J21</f>
        <v>112908</v>
      </c>
      <c r="L21" s="69">
        <f>+IF(K21*12&lt;=416220.01,0,IF(K21*12&lt;=624329.01,(((K21*12-416220.01)*0.15)/12),IF((K21*12&lt;=867123.01),(31216+0.2*(K21*12-624329.01))/12,((79776+0.25*(K21*12-867123.01))/12))))</f>
        <v>16809.937291666665</v>
      </c>
      <c r="M21" s="226">
        <v>2290.29</v>
      </c>
      <c r="N21" s="220">
        <f>+M21+I21+H21+G21+L21</f>
        <v>26192.227291666666</v>
      </c>
      <c r="O21" s="84">
        <f>+F21-N21</f>
        <v>93807.77270833333</v>
      </c>
    </row>
    <row r="22" spans="1:15" s="237" customFormat="1" ht="35.1" customHeight="1" x14ac:dyDescent="0.2">
      <c r="A22" s="73">
        <f>+A21+1</f>
        <v>13</v>
      </c>
      <c r="B22" s="72" t="s">
        <v>52</v>
      </c>
      <c r="C22" s="73" t="s">
        <v>339</v>
      </c>
      <c r="D22" s="238" t="s">
        <v>570</v>
      </c>
      <c r="E22" s="72" t="s">
        <v>97</v>
      </c>
      <c r="F22" s="221">
        <v>110000</v>
      </c>
      <c r="G22" s="221">
        <f>F22*2.87%</f>
        <v>3157</v>
      </c>
      <c r="H22" s="221">
        <f>+F22*3.04%</f>
        <v>3344</v>
      </c>
      <c r="I22" s="221"/>
      <c r="J22" s="69">
        <f>+G22+H22+I22</f>
        <v>6501</v>
      </c>
      <c r="K22" s="69">
        <f>+F22-J22</f>
        <v>103499</v>
      </c>
      <c r="L22" s="69">
        <f>+IF(K22*12&lt;=416220.01,0,IF(K22*12&lt;=624329.01,(((K22*12-416220.01)*0.15)/12),IF((K22*12&lt;=867123.01),(31216+0.2*(K22*12-624329.01))/12,((79776+0.25*(K22*12-867123.01))/12))))</f>
        <v>14457.687291666667</v>
      </c>
      <c r="M22" s="226">
        <v>1330.29</v>
      </c>
      <c r="N22" s="220">
        <f>+M22+I22+H22+G22+L22</f>
        <v>22288.977291666666</v>
      </c>
      <c r="O22" s="222">
        <f>+F22-N22</f>
        <v>87711.02270833333</v>
      </c>
    </row>
    <row r="23" spans="1:15" s="148" customFormat="1" ht="35.1" customHeight="1" x14ac:dyDescent="0.2">
      <c r="A23" s="218">
        <f>+A22+1</f>
        <v>14</v>
      </c>
      <c r="B23" s="259" t="s">
        <v>224</v>
      </c>
      <c r="C23" s="260" t="s">
        <v>339</v>
      </c>
      <c r="D23" s="238" t="s">
        <v>570</v>
      </c>
      <c r="E23" s="72" t="s">
        <v>97</v>
      </c>
      <c r="F23" s="261">
        <v>110000</v>
      </c>
      <c r="G23" s="221">
        <f>F23*2.87%</f>
        <v>3157</v>
      </c>
      <c r="H23" s="221">
        <f>+F23*3.04%</f>
        <v>3344</v>
      </c>
      <c r="I23" s="221">
        <v>0</v>
      </c>
      <c r="J23" s="220">
        <f>+G23+H23+I23</f>
        <v>6501</v>
      </c>
      <c r="K23" s="220">
        <f>+F23-J23</f>
        <v>103499</v>
      </c>
      <c r="L23" s="69">
        <f>+IF(K23*12&lt;=416220.01,0,IF(K23*12&lt;=624329.01,(((K23*12-416220.01)*0.15)/12),IF((K23*12&lt;=867123.01),(31216+0.2*(K23*12-624329.01))/12,((79776+0.25*(K23*12-867123.01))/12))))</f>
        <v>14457.687291666667</v>
      </c>
      <c r="M23" s="239">
        <v>25</v>
      </c>
      <c r="N23" s="220">
        <f>+M23+I23+H23+G23+L23</f>
        <v>20983.687291666669</v>
      </c>
      <c r="O23" s="222">
        <f>+F23-N23</f>
        <v>89016.312708333338</v>
      </c>
    </row>
    <row r="24" spans="1:15" s="148" customFormat="1" ht="35.1" customHeight="1" x14ac:dyDescent="0.2">
      <c r="A24" s="218">
        <f>+A23+1</f>
        <v>15</v>
      </c>
      <c r="B24" s="219" t="s">
        <v>406</v>
      </c>
      <c r="C24" s="218" t="s">
        <v>339</v>
      </c>
      <c r="D24" s="238" t="s">
        <v>589</v>
      </c>
      <c r="E24" s="72" t="s">
        <v>98</v>
      </c>
      <c r="F24" s="220">
        <v>90000</v>
      </c>
      <c r="G24" s="220">
        <f>F24*2.87%</f>
        <v>2583</v>
      </c>
      <c r="H24" s="220">
        <f>F24*3.04%</f>
        <v>2736</v>
      </c>
      <c r="I24" s="69">
        <v>0</v>
      </c>
      <c r="J24" s="69">
        <f>+G24+H24+I24</f>
        <v>5319</v>
      </c>
      <c r="K24" s="69">
        <f>+F24-J24</f>
        <v>84681</v>
      </c>
      <c r="L24" s="69">
        <f>+IF(K24*12&lt;=416220.01,0,IF(K24*12&lt;=624329.01,(((K24*12-416220.01)*0.15)/12),IF((K24*12&lt;=867123.01),(31216+0.2*(K24*12-624329.01))/12,((79776+0.25*(K24*12-867123.01))/12))))</f>
        <v>9753.1872916666671</v>
      </c>
      <c r="M24" s="226">
        <v>25</v>
      </c>
      <c r="N24" s="220">
        <f>+M24+I24+H24+G24+L24</f>
        <v>15097.187291666667</v>
      </c>
      <c r="O24" s="222">
        <f>+F24-N24</f>
        <v>74902.812708333338</v>
      </c>
    </row>
    <row r="25" spans="1:15" s="231" customFormat="1" ht="35.1" customHeight="1" x14ac:dyDescent="0.2">
      <c r="A25" s="228" t="s">
        <v>100</v>
      </c>
      <c r="B25" s="229"/>
      <c r="C25" s="229"/>
      <c r="D25" s="229"/>
      <c r="E25" s="229"/>
      <c r="F25" s="230">
        <f t="shared" ref="F25:L25" si="9">SUM(F20:F24)</f>
        <v>660000</v>
      </c>
      <c r="G25" s="230">
        <f t="shared" si="9"/>
        <v>18942</v>
      </c>
      <c r="H25" s="230">
        <f t="shared" si="9"/>
        <v>20064</v>
      </c>
      <c r="I25" s="230">
        <f t="shared" si="9"/>
        <v>1919.78</v>
      </c>
      <c r="J25" s="230">
        <f t="shared" si="9"/>
        <v>40925.78</v>
      </c>
      <c r="K25" s="230">
        <f t="shared" si="9"/>
        <v>619074.22</v>
      </c>
      <c r="L25" s="230">
        <f t="shared" si="9"/>
        <v>97683.241458333316</v>
      </c>
      <c r="M25" s="230">
        <f>SUM(M20:M24)</f>
        <v>3695.58</v>
      </c>
      <c r="N25" s="230">
        <f>SUM(N20:N24)</f>
        <v>142304.60145833335</v>
      </c>
      <c r="O25" s="230">
        <f>SUM(O20:O24)</f>
        <v>517695.39854166668</v>
      </c>
    </row>
    <row r="26" spans="1:15" s="211" customFormat="1" ht="35.1" customHeight="1" thickBot="1" x14ac:dyDescent="0.25">
      <c r="A26" s="232"/>
      <c r="B26" s="147"/>
      <c r="C26" s="208"/>
      <c r="D26" s="233"/>
      <c r="E26" s="233"/>
      <c r="F26" s="148"/>
      <c r="G26" s="148"/>
      <c r="H26" s="148"/>
      <c r="I26" s="148"/>
      <c r="J26" s="148"/>
      <c r="K26" s="148"/>
      <c r="L26" s="148"/>
      <c r="M26" s="148"/>
      <c r="N26" s="148"/>
      <c r="O26" s="148"/>
    </row>
    <row r="27" spans="1:15" s="210" customFormat="1" ht="35.1" customHeight="1" thickBot="1" x14ac:dyDescent="0.25">
      <c r="A27" s="234" t="s">
        <v>149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</row>
    <row r="28" spans="1:15" s="231" customFormat="1" ht="35.1" customHeight="1" x14ac:dyDescent="0.2">
      <c r="A28" s="73">
        <f>+A24+1</f>
        <v>16</v>
      </c>
      <c r="B28" s="72" t="s">
        <v>113</v>
      </c>
      <c r="C28" s="73" t="s">
        <v>339</v>
      </c>
      <c r="D28" s="238" t="s">
        <v>365</v>
      </c>
      <c r="E28" s="72" t="s">
        <v>97</v>
      </c>
      <c r="F28" s="221">
        <v>170500</v>
      </c>
      <c r="G28" s="221">
        <f>F28*2.87%</f>
        <v>4893.3500000000004</v>
      </c>
      <c r="H28" s="220">
        <f>+F28*3.04%</f>
        <v>5183.2</v>
      </c>
      <c r="I28" s="220"/>
      <c r="J28" s="69">
        <f>+G28+H28+I28</f>
        <v>10076.549999999999</v>
      </c>
      <c r="K28" s="69">
        <f>+F28-J28</f>
        <v>160423.45000000001</v>
      </c>
      <c r="L28" s="69">
        <f>+IF(K28*12&lt;=416220.01,0,IF(K28*12&lt;=624329.01,(((K28*12-416220.01)*0.15)/12),IF((K28*12&lt;=867123.01),(31216+0.2*(K28*12-624329.01))/12,((79776+0.25*(K28*12-867123.01))/12))))</f>
        <v>28688.799791666668</v>
      </c>
      <c r="M28" s="226">
        <v>15594.92</v>
      </c>
      <c r="N28" s="220">
        <f>+M28+I28+H28+G28+L28</f>
        <v>54360.269791666666</v>
      </c>
      <c r="O28" s="222">
        <f>+F28-N28</f>
        <v>116139.73020833333</v>
      </c>
    </row>
    <row r="29" spans="1:15" s="231" customFormat="1" ht="35.1" customHeight="1" x14ac:dyDescent="0.2">
      <c r="A29" s="228" t="s">
        <v>100</v>
      </c>
      <c r="B29" s="229"/>
      <c r="C29" s="229"/>
      <c r="D29" s="229"/>
      <c r="E29" s="229"/>
      <c r="F29" s="230">
        <f t="shared" ref="F29:L29" si="10">SUM(F28)</f>
        <v>170500</v>
      </c>
      <c r="G29" s="230">
        <f t="shared" si="10"/>
        <v>4893.3500000000004</v>
      </c>
      <c r="H29" s="230">
        <f t="shared" si="10"/>
        <v>5183.2</v>
      </c>
      <c r="I29" s="230">
        <f t="shared" si="10"/>
        <v>0</v>
      </c>
      <c r="J29" s="230">
        <f t="shared" si="10"/>
        <v>10076.549999999999</v>
      </c>
      <c r="K29" s="230">
        <f t="shared" si="10"/>
        <v>160423.45000000001</v>
      </c>
      <c r="L29" s="230">
        <f t="shared" si="10"/>
        <v>28688.799791666668</v>
      </c>
      <c r="M29" s="230">
        <f>SUM(M28)</f>
        <v>15594.92</v>
      </c>
      <c r="N29" s="230">
        <f>SUM(N28)</f>
        <v>54360.269791666666</v>
      </c>
      <c r="O29" s="230">
        <f>SUM(O28)</f>
        <v>116139.73020833333</v>
      </c>
    </row>
    <row r="30" spans="1:15" s="211" customFormat="1" ht="35.1" customHeight="1" thickBot="1" x14ac:dyDescent="0.25">
      <c r="A30" s="232"/>
      <c r="B30" s="147"/>
      <c r="C30" s="208"/>
      <c r="D30" s="233"/>
      <c r="E30" s="233"/>
      <c r="F30" s="148"/>
      <c r="G30" s="148"/>
      <c r="H30" s="148"/>
      <c r="I30" s="148"/>
      <c r="J30" s="148"/>
      <c r="K30" s="148"/>
      <c r="L30" s="148"/>
      <c r="M30" s="148"/>
      <c r="N30" s="148"/>
      <c r="O30" s="148"/>
    </row>
    <row r="31" spans="1:15" s="237" customFormat="1" ht="35.1" customHeight="1" thickBot="1" x14ac:dyDescent="0.25">
      <c r="A31" s="234" t="s">
        <v>124</v>
      </c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</row>
    <row r="32" spans="1:15" s="148" customFormat="1" ht="35.1" customHeight="1" x14ac:dyDescent="0.2">
      <c r="A32" s="73">
        <f>+A28+1</f>
        <v>17</v>
      </c>
      <c r="B32" s="72" t="s">
        <v>33</v>
      </c>
      <c r="C32" s="73" t="s">
        <v>339</v>
      </c>
      <c r="D32" s="238" t="s">
        <v>589</v>
      </c>
      <c r="E32" s="72" t="s">
        <v>98</v>
      </c>
      <c r="F32" s="221">
        <v>102000</v>
      </c>
      <c r="G32" s="68">
        <v>2927.4</v>
      </c>
      <c r="H32" s="68">
        <v>3100.8</v>
      </c>
      <c r="I32" s="68"/>
      <c r="J32" s="69">
        <v>6028.2000000000007</v>
      </c>
      <c r="K32" s="69">
        <v>95971.8</v>
      </c>
      <c r="L32" s="69">
        <f>+IF(K32*12&lt;=416220.01,0,IF(K32*12&lt;=624329.01,(((K32*12-416220.01)*0.15)/12),IF((K32*12&lt;=867123.01),(31216+0.2*(K32*12-624329.01))/12,((79776+0.25*(K32*12-867123.01))/12))))</f>
        <v>12575.887291666668</v>
      </c>
      <c r="M32" s="239">
        <v>4725</v>
      </c>
      <c r="N32" s="220">
        <f>+M32+I32+H32+G32+L32</f>
        <v>23329.08729166667</v>
      </c>
      <c r="O32" s="84">
        <f>+F32-N32</f>
        <v>78670.91270833333</v>
      </c>
    </row>
    <row r="33" spans="1:15" s="241" customFormat="1" ht="35.1" customHeight="1" x14ac:dyDescent="0.2">
      <c r="A33" s="228" t="s">
        <v>100</v>
      </c>
      <c r="B33" s="229"/>
      <c r="C33" s="229"/>
      <c r="D33" s="229"/>
      <c r="E33" s="245"/>
      <c r="F33" s="230">
        <f t="shared" ref="F33:O33" si="11">+F32</f>
        <v>102000</v>
      </c>
      <c r="G33" s="230">
        <f t="shared" si="11"/>
        <v>2927.4</v>
      </c>
      <c r="H33" s="230">
        <f t="shared" si="11"/>
        <v>3100.8</v>
      </c>
      <c r="I33" s="230">
        <f t="shared" si="11"/>
        <v>0</v>
      </c>
      <c r="J33" s="230">
        <f t="shared" si="11"/>
        <v>6028.2000000000007</v>
      </c>
      <c r="K33" s="230">
        <f t="shared" si="11"/>
        <v>95971.8</v>
      </c>
      <c r="L33" s="230">
        <f t="shared" si="11"/>
        <v>12575.887291666668</v>
      </c>
      <c r="M33" s="230">
        <f t="shared" si="11"/>
        <v>4725</v>
      </c>
      <c r="N33" s="230">
        <f t="shared" si="11"/>
        <v>23329.08729166667</v>
      </c>
      <c r="O33" s="230">
        <f t="shared" si="11"/>
        <v>78670.91270833333</v>
      </c>
    </row>
    <row r="34" spans="1:15" s="148" customFormat="1" ht="35.1" customHeight="1" thickBot="1" x14ac:dyDescent="0.25">
      <c r="A34" s="146"/>
      <c r="B34" s="146"/>
      <c r="C34" s="146"/>
      <c r="D34" s="146"/>
      <c r="E34" s="146"/>
      <c r="F34" s="231"/>
      <c r="G34" s="231"/>
      <c r="H34" s="231"/>
      <c r="I34" s="98"/>
      <c r="J34" s="98"/>
      <c r="K34" s="98"/>
      <c r="L34" s="98"/>
      <c r="M34" s="98"/>
      <c r="N34" s="98"/>
      <c r="O34" s="98"/>
    </row>
    <row r="35" spans="1:15" s="148" customFormat="1" ht="35.1" customHeight="1" thickBot="1" x14ac:dyDescent="0.25">
      <c r="A35" s="234" t="s">
        <v>125</v>
      </c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</row>
    <row r="36" spans="1:15" s="149" customFormat="1" ht="46.5" customHeight="1" x14ac:dyDescent="0.2">
      <c r="A36" s="218">
        <f>+A32+1</f>
        <v>18</v>
      </c>
      <c r="B36" s="219" t="s">
        <v>38</v>
      </c>
      <c r="C36" s="218" t="s">
        <v>339</v>
      </c>
      <c r="D36" s="225" t="s">
        <v>589</v>
      </c>
      <c r="E36" s="72" t="s">
        <v>98</v>
      </c>
      <c r="F36" s="220">
        <v>110000</v>
      </c>
      <c r="G36" s="221">
        <f>F36*2.87%</f>
        <v>3157</v>
      </c>
      <c r="H36" s="221">
        <f>+F36*3.04%</f>
        <v>3344</v>
      </c>
      <c r="I36" s="221">
        <v>0</v>
      </c>
      <c r="J36" s="220">
        <f>+G36+H36+I36</f>
        <v>6501</v>
      </c>
      <c r="K36" s="220">
        <f>+F36-J36</f>
        <v>103499</v>
      </c>
      <c r="L36" s="69">
        <f>+IF(K36*12&lt;=416220.01,0,IF(K36*12&lt;=624329.01,(((K36*12-416220.01)*0.15)/12),IF((K36*12&lt;=867123.01),(31216+0.2*(K36*12-624329.01))/12,((79776+0.25*(K36*12-867123.01))/12))))</f>
        <v>14457.687291666667</v>
      </c>
      <c r="M36" s="226">
        <v>1330.29</v>
      </c>
      <c r="N36" s="220">
        <f>+M36+I36+H36+G36+L36</f>
        <v>22288.977291666666</v>
      </c>
      <c r="O36" s="222">
        <f>+F36-N36</f>
        <v>87711.02270833333</v>
      </c>
    </row>
    <row r="37" spans="1:15" s="148" customFormat="1" ht="35.1" customHeight="1" x14ac:dyDescent="0.2">
      <c r="A37" s="218">
        <f>+A36+1</f>
        <v>19</v>
      </c>
      <c r="B37" s="219" t="s">
        <v>203</v>
      </c>
      <c r="C37" s="218" t="s">
        <v>339</v>
      </c>
      <c r="D37" s="225" t="s">
        <v>589</v>
      </c>
      <c r="E37" s="72" t="s">
        <v>97</v>
      </c>
      <c r="F37" s="220">
        <v>95000</v>
      </c>
      <c r="G37" s="221">
        <f>F37*2.87%</f>
        <v>2726.5</v>
      </c>
      <c r="H37" s="221">
        <f>+F37*3.04%</f>
        <v>2888</v>
      </c>
      <c r="I37" s="221"/>
      <c r="J37" s="220">
        <f>+G37+H37+I37</f>
        <v>5614.5</v>
      </c>
      <c r="K37" s="220">
        <f>+F37-J37</f>
        <v>89385.5</v>
      </c>
      <c r="L37" s="69">
        <f>+IF(K37*12&lt;=416220.01,0,IF(K37*12&lt;=624329.01,(((K37*12-416220.01)*0.15)/12),IF((K37*12&lt;=867123.01),(31216+0.2*(K37*12-624329.01))/12,((79776+0.25*(K37*12-867123.01))/12))))</f>
        <v>10929.312291666667</v>
      </c>
      <c r="M37" s="226">
        <v>225</v>
      </c>
      <c r="N37" s="220">
        <f>+M37+I37+H37+G37+L37</f>
        <v>16768.812291666669</v>
      </c>
      <c r="O37" s="222">
        <f>+F37-N37</f>
        <v>78231.187708333338</v>
      </c>
    </row>
    <row r="38" spans="1:15" s="241" customFormat="1" ht="35.1" customHeight="1" x14ac:dyDescent="0.2">
      <c r="A38" s="218">
        <f>+A37+1</f>
        <v>20</v>
      </c>
      <c r="B38" s="219" t="s">
        <v>364</v>
      </c>
      <c r="C38" s="218" t="s">
        <v>338</v>
      </c>
      <c r="D38" s="225" t="s">
        <v>582</v>
      </c>
      <c r="E38" s="72" t="s">
        <v>98</v>
      </c>
      <c r="F38" s="220">
        <v>85000</v>
      </c>
      <c r="G38" s="221">
        <f>F38*2.87%</f>
        <v>2439.5</v>
      </c>
      <c r="H38" s="221">
        <f>+F38*3.04%</f>
        <v>2584</v>
      </c>
      <c r="I38" s="221"/>
      <c r="J38" s="220">
        <f>+G38+H38+I38</f>
        <v>5023.5</v>
      </c>
      <c r="K38" s="220">
        <f>+F38-J38</f>
        <v>79976.5</v>
      </c>
      <c r="L38" s="69">
        <f>+IF(K38*12&lt;=416220.01,0,IF(K38*12&lt;=624329.01,(((K38*12-416220.01)*0.15)/12),IF((K38*12&lt;=867123.01),(31216+0.2*(K38*12-624329.01))/12,((79776+0.25*(K38*12-867123.01))/12))))</f>
        <v>8577.0622916666671</v>
      </c>
      <c r="M38" s="226">
        <v>11511.38</v>
      </c>
      <c r="N38" s="220">
        <f>+M38+I38+H38+G38+L38</f>
        <v>25111.942291666666</v>
      </c>
      <c r="O38" s="222">
        <f>F38-N38</f>
        <v>59888.057708333334</v>
      </c>
    </row>
    <row r="39" spans="1:15" s="241" customFormat="1" ht="35.1" customHeight="1" x14ac:dyDescent="0.2">
      <c r="A39" s="218">
        <f>+A38+1</f>
        <v>21</v>
      </c>
      <c r="B39" s="219" t="s">
        <v>611</v>
      </c>
      <c r="C39" s="218" t="s">
        <v>339</v>
      </c>
      <c r="D39" s="225" t="s">
        <v>582</v>
      </c>
      <c r="E39" s="72" t="s">
        <v>98</v>
      </c>
      <c r="F39" s="220">
        <v>80000</v>
      </c>
      <c r="G39" s="221">
        <f>F39*2.87%</f>
        <v>2296</v>
      </c>
      <c r="H39" s="221">
        <f>+F39*3.04%</f>
        <v>2432</v>
      </c>
      <c r="I39" s="221"/>
      <c r="J39" s="220">
        <f>+G39+H39+I39</f>
        <v>4728</v>
      </c>
      <c r="K39" s="220">
        <f>+F39-J39</f>
        <v>75272</v>
      </c>
      <c r="L39" s="69">
        <f>+IF(K39*12&lt;=416220.01,0,IF(K39*12&lt;=624329.01,(((K39*12-416220.01)*0.15)/12),IF((K39*12&lt;=867123.01),(31216+0.2*(K39*12-624329.01))/12,((79776+0.25*(K39*12-867123.01))/12))))</f>
        <v>7400.9372916666662</v>
      </c>
      <c r="M39" s="226">
        <v>1290.29</v>
      </c>
      <c r="N39" s="220">
        <f>+M39+I39+H39+G39+L39</f>
        <v>13419.227291666666</v>
      </c>
      <c r="O39" s="222">
        <f>F39-N39</f>
        <v>66580.77270833333</v>
      </c>
    </row>
    <row r="40" spans="1:15" s="246" customFormat="1" ht="35.1" customHeight="1" thickBot="1" x14ac:dyDescent="0.25">
      <c r="A40" s="228" t="s">
        <v>100</v>
      </c>
      <c r="B40" s="229"/>
      <c r="C40" s="229"/>
      <c r="D40" s="229"/>
      <c r="E40" s="245"/>
      <c r="F40" s="230">
        <f>SUM(F36:F39)</f>
        <v>370000</v>
      </c>
      <c r="G40" s="230">
        <f t="shared" ref="G40:O40" si="12">SUM(G36:G39)</f>
        <v>10619</v>
      </c>
      <c r="H40" s="230">
        <f t="shared" si="12"/>
        <v>11248</v>
      </c>
      <c r="I40" s="230">
        <f t="shared" si="12"/>
        <v>0</v>
      </c>
      <c r="J40" s="230">
        <f t="shared" si="12"/>
        <v>21867</v>
      </c>
      <c r="K40" s="230">
        <f t="shared" si="12"/>
        <v>348133</v>
      </c>
      <c r="L40" s="230">
        <f t="shared" si="12"/>
        <v>41364.999166666668</v>
      </c>
      <c r="M40" s="230">
        <f t="shared" si="12"/>
        <v>14356.96</v>
      </c>
      <c r="N40" s="230">
        <f t="shared" si="12"/>
        <v>77588.959166666667</v>
      </c>
      <c r="O40" s="230">
        <f t="shared" si="12"/>
        <v>292411.04083333333</v>
      </c>
    </row>
    <row r="41" spans="1:15" s="246" customFormat="1" ht="35.1" customHeight="1" thickBot="1" x14ac:dyDescent="0.25">
      <c r="A41" s="234" t="s">
        <v>126</v>
      </c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</row>
    <row r="42" spans="1:15" s="148" customFormat="1" ht="49.5" customHeight="1" x14ac:dyDescent="0.2">
      <c r="A42" s="218">
        <f>+A39+1</f>
        <v>22</v>
      </c>
      <c r="B42" s="219" t="s">
        <v>219</v>
      </c>
      <c r="C42" s="218" t="s">
        <v>339</v>
      </c>
      <c r="D42" s="227" t="s">
        <v>569</v>
      </c>
      <c r="E42" s="72" t="s">
        <v>97</v>
      </c>
      <c r="F42" s="220">
        <v>155000</v>
      </c>
      <c r="G42" s="221">
        <v>4448.5</v>
      </c>
      <c r="H42" s="221">
        <v>4712</v>
      </c>
      <c r="I42" s="221"/>
      <c r="J42" s="220">
        <v>9160.5</v>
      </c>
      <c r="K42" s="220">
        <v>145839.5</v>
      </c>
      <c r="L42" s="69">
        <f>+IF(K42*12&lt;=416220.01,0,IF(K42*12&lt;=624329.01,(((K42*12-416220.01)*0.15)/12),IF((K42*12&lt;=867123.01),(31216+0.2*(K42*12-624329.01))/12,((79776+0.25*(K42*12-867123.01))/12))))</f>
        <v>25042.812291666665</v>
      </c>
      <c r="M42" s="226">
        <v>1290.29</v>
      </c>
      <c r="N42" s="220">
        <f>+M42+I42+H42+G42+L42</f>
        <v>35493.60229166667</v>
      </c>
      <c r="O42" s="222">
        <f>+F42-N42</f>
        <v>119506.39770833333</v>
      </c>
    </row>
    <row r="43" spans="1:15" s="149" customFormat="1" ht="49.5" customHeight="1" x14ac:dyDescent="0.2">
      <c r="A43" s="218">
        <f>+A42+1</f>
        <v>23</v>
      </c>
      <c r="B43" s="219" t="s">
        <v>205</v>
      </c>
      <c r="C43" s="218" t="s">
        <v>339</v>
      </c>
      <c r="D43" s="227" t="s">
        <v>589</v>
      </c>
      <c r="E43" s="72" t="s">
        <v>98</v>
      </c>
      <c r="F43" s="220">
        <v>90000</v>
      </c>
      <c r="G43" s="221">
        <f>F43*2.87%</f>
        <v>2583</v>
      </c>
      <c r="H43" s="221">
        <f>+F43*3.04%</f>
        <v>2736</v>
      </c>
      <c r="I43" s="221"/>
      <c r="J43" s="220">
        <f>+G43+H43+I43</f>
        <v>5319</v>
      </c>
      <c r="K43" s="220">
        <f>+F43-J43</f>
        <v>84681</v>
      </c>
      <c r="L43" s="69">
        <f>+IF(K43*12&lt;=416220.01,0,IF(K43*12&lt;=624329.01,(((K43*12-416220.01)*0.15)/12),IF((K43*12&lt;=867123.01),(31216+0.2*(K43*12-624329.01))/12,((79776+0.25*(K43*12-867123.01))/12))))</f>
        <v>9753.1872916666671</v>
      </c>
      <c r="M43" s="226">
        <v>17660.23</v>
      </c>
      <c r="N43" s="220">
        <f>+M43+I43+H43+G43+L43</f>
        <v>32732.417291666665</v>
      </c>
      <c r="O43" s="222">
        <f>+F43-N43</f>
        <v>57267.582708333335</v>
      </c>
    </row>
    <row r="44" spans="1:15" s="149" customFormat="1" ht="49.5" customHeight="1" x14ac:dyDescent="0.2">
      <c r="A44" s="218">
        <f>+A43+1</f>
        <v>24</v>
      </c>
      <c r="B44" s="219" t="s">
        <v>53</v>
      </c>
      <c r="C44" s="218" t="s">
        <v>338</v>
      </c>
      <c r="D44" s="227" t="s">
        <v>589</v>
      </c>
      <c r="E44" s="72" t="s">
        <v>97</v>
      </c>
      <c r="F44" s="220">
        <v>85000</v>
      </c>
      <c r="G44" s="221">
        <f>F44*2.87%</f>
        <v>2439.5</v>
      </c>
      <c r="H44" s="221">
        <f>+F44*3.04%</f>
        <v>2584</v>
      </c>
      <c r="I44" s="221">
        <v>1919.78</v>
      </c>
      <c r="J44" s="220">
        <f>+G44+H44+I44</f>
        <v>6943.28</v>
      </c>
      <c r="K44" s="220">
        <f>+F44-J44</f>
        <v>78056.72</v>
      </c>
      <c r="L44" s="69">
        <f>+IF(K44*12&lt;=416220.01,0,IF(K44*12&lt;=624329.01,(((K44*12-416220.01)*0.15)/12),IF((K44*12&lt;=867123.01),(31216+0.2*(K44*12-624329.01))/12,((79776+0.25*(K44*12-867123.01))/12))))</f>
        <v>8097.1172916666665</v>
      </c>
      <c r="M44" s="226">
        <v>26830.63</v>
      </c>
      <c r="N44" s="220">
        <f>+M44+I44+H44+G44+L44</f>
        <v>41871.027291666673</v>
      </c>
      <c r="O44" s="222">
        <f>+F44-N44</f>
        <v>43128.972708333327</v>
      </c>
    </row>
    <row r="45" spans="1:15" s="149" customFormat="1" ht="49.5" customHeight="1" x14ac:dyDescent="0.2">
      <c r="A45" s="218">
        <f>+A44+1</f>
        <v>25</v>
      </c>
      <c r="B45" s="219" t="s">
        <v>206</v>
      </c>
      <c r="C45" s="218" t="s">
        <v>339</v>
      </c>
      <c r="D45" s="227" t="s">
        <v>589</v>
      </c>
      <c r="E45" s="72" t="s">
        <v>98</v>
      </c>
      <c r="F45" s="220">
        <v>85000</v>
      </c>
      <c r="G45" s="221">
        <f>F45*2.87%</f>
        <v>2439.5</v>
      </c>
      <c r="H45" s="221">
        <f>+F45*3.04%</f>
        <v>2584</v>
      </c>
      <c r="I45" s="221">
        <v>0</v>
      </c>
      <c r="J45" s="220">
        <f>+G45+H45+I45</f>
        <v>5023.5</v>
      </c>
      <c r="K45" s="220">
        <f>+F45-J45</f>
        <v>79976.5</v>
      </c>
      <c r="L45" s="69">
        <f>+IF(K45*12&lt;=416220.01,0,IF(K45*12&lt;=624329.01,(((K45*12-416220.01)*0.15)/12),IF((K45*12&lt;=867123.01),(31216+0.2*(K45*12-624329.01))/12,((79776+0.25*(K45*12-867123.01))/12))))</f>
        <v>8577.0622916666671</v>
      </c>
      <c r="M45" s="226">
        <v>16998.05</v>
      </c>
      <c r="N45" s="220">
        <f>+M45+I45+H45+G45+L45</f>
        <v>30598.612291666665</v>
      </c>
      <c r="O45" s="222">
        <f>+F45-N45</f>
        <v>54401.387708333335</v>
      </c>
    </row>
    <row r="46" spans="1:15" s="224" customFormat="1" ht="35.1" customHeight="1" x14ac:dyDescent="0.2">
      <c r="A46" s="218">
        <f>+A45+1</f>
        <v>26</v>
      </c>
      <c r="B46" s="219" t="s">
        <v>42</v>
      </c>
      <c r="C46" s="218" t="s">
        <v>339</v>
      </c>
      <c r="D46" s="227" t="s">
        <v>589</v>
      </c>
      <c r="E46" s="72" t="s">
        <v>97</v>
      </c>
      <c r="F46" s="220">
        <v>85000</v>
      </c>
      <c r="G46" s="221">
        <f>F46*2.87%</f>
        <v>2439.5</v>
      </c>
      <c r="H46" s="221">
        <f>+F46*3.04%</f>
        <v>2584</v>
      </c>
      <c r="I46" s="221"/>
      <c r="J46" s="220">
        <f>+G46+H46+I46</f>
        <v>5023.5</v>
      </c>
      <c r="K46" s="220">
        <f>+F46-J46</f>
        <v>79976.5</v>
      </c>
      <c r="L46" s="69">
        <f>+IF(K46*12&lt;=416220.01,0,IF(K46*12&lt;=624329.01,(((K46*12-416220.01)*0.15)/12),IF((K46*12&lt;=867123.01),(31216+0.2*(K46*12-624329.01))/12,((79776+0.25*(K46*12-867123.01))/12))))</f>
        <v>8577.0622916666671</v>
      </c>
      <c r="M46" s="226">
        <v>2370.29</v>
      </c>
      <c r="N46" s="220">
        <f>+M46+I46+H46+G46+L46</f>
        <v>15970.852291666666</v>
      </c>
      <c r="O46" s="222">
        <f>+F46-N46</f>
        <v>69029.14770833333</v>
      </c>
    </row>
    <row r="47" spans="1:15" s="148" customFormat="1" ht="35.1" customHeight="1" x14ac:dyDescent="0.2">
      <c r="A47" s="228" t="s">
        <v>100</v>
      </c>
      <c r="B47" s="229"/>
      <c r="C47" s="229"/>
      <c r="D47" s="229"/>
      <c r="E47" s="245"/>
      <c r="F47" s="230">
        <f t="shared" ref="F47:O47" si="13">SUM(F42:F46)</f>
        <v>500000</v>
      </c>
      <c r="G47" s="230">
        <f t="shared" si="13"/>
        <v>14350</v>
      </c>
      <c r="H47" s="230">
        <f t="shared" si="13"/>
        <v>15200</v>
      </c>
      <c r="I47" s="230">
        <f t="shared" si="13"/>
        <v>1919.78</v>
      </c>
      <c r="J47" s="230">
        <f t="shared" si="13"/>
        <v>31469.78</v>
      </c>
      <c r="K47" s="230">
        <f t="shared" si="13"/>
        <v>468530.22</v>
      </c>
      <c r="L47" s="230">
        <f t="shared" si="13"/>
        <v>60047.241458333338</v>
      </c>
      <c r="M47" s="230">
        <f t="shared" si="13"/>
        <v>65149.49</v>
      </c>
      <c r="N47" s="230">
        <f t="shared" si="13"/>
        <v>156666.51145833335</v>
      </c>
      <c r="O47" s="230">
        <f t="shared" si="13"/>
        <v>343333.48854166665</v>
      </c>
    </row>
    <row r="48" spans="1:15" s="148" customFormat="1" ht="35.1" customHeight="1" thickBot="1" x14ac:dyDescent="0.25">
      <c r="A48" s="223"/>
      <c r="B48" s="223"/>
      <c r="C48" s="249"/>
      <c r="D48" s="223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</row>
    <row r="49" spans="1:15" s="246" customFormat="1" ht="35.1" customHeight="1" thickBot="1" x14ac:dyDescent="0.25">
      <c r="A49" s="234" t="s">
        <v>366</v>
      </c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</row>
    <row r="50" spans="1:15" s="148" customFormat="1" ht="35.1" customHeight="1" x14ac:dyDescent="0.2">
      <c r="A50" s="242">
        <f>+A46+1</f>
        <v>27</v>
      </c>
      <c r="B50" s="250" t="s">
        <v>41</v>
      </c>
      <c r="C50" s="242" t="s">
        <v>339</v>
      </c>
      <c r="D50" s="251" t="s">
        <v>151</v>
      </c>
      <c r="E50" s="243" t="s">
        <v>98</v>
      </c>
      <c r="F50" s="69">
        <v>126500</v>
      </c>
      <c r="G50" s="69">
        <v>3630.55</v>
      </c>
      <c r="H50" s="69">
        <v>3845.6</v>
      </c>
      <c r="I50" s="68">
        <v>1919.78</v>
      </c>
      <c r="J50" s="69">
        <f>+G50+H50+I50</f>
        <v>9395.93</v>
      </c>
      <c r="K50" s="69">
        <f>+F50-J50</f>
        <v>117104.07</v>
      </c>
      <c r="L50" s="69">
        <f>+IF(K50*12&lt;=416220.01,0,IF(K50*12&lt;=624329.01,(((K50*12-416220.01)*0.15)/12),IF((K50*12&lt;=867123.01),(31216+0.2*(K50*12-624329.01))/12,((79776+0.25*(K50*12-867123.01))/12))))</f>
        <v>17858.954791666667</v>
      </c>
      <c r="M50" s="222">
        <v>225</v>
      </c>
      <c r="N50" s="220">
        <f>+M50+I50+H50+G50+L50</f>
        <v>27479.884791666667</v>
      </c>
      <c r="O50" s="222">
        <f>+F50-N50</f>
        <v>99020.115208333329</v>
      </c>
    </row>
    <row r="51" spans="1:15" s="148" customFormat="1" ht="35.1" customHeight="1" x14ac:dyDescent="0.2">
      <c r="A51" s="228" t="s">
        <v>100</v>
      </c>
      <c r="B51" s="229"/>
      <c r="C51" s="229"/>
      <c r="D51" s="229"/>
      <c r="E51" s="245"/>
      <c r="F51" s="230">
        <f t="shared" ref="F51:L51" si="14">SUM(F50)</f>
        <v>126500</v>
      </c>
      <c r="G51" s="230">
        <f t="shared" si="14"/>
        <v>3630.55</v>
      </c>
      <c r="H51" s="230">
        <f t="shared" si="14"/>
        <v>3845.6</v>
      </c>
      <c r="I51" s="230">
        <f t="shared" si="14"/>
        <v>1919.78</v>
      </c>
      <c r="J51" s="230">
        <f t="shared" si="14"/>
        <v>9395.93</v>
      </c>
      <c r="K51" s="230">
        <f t="shared" si="14"/>
        <v>117104.07</v>
      </c>
      <c r="L51" s="230">
        <f t="shared" si="14"/>
        <v>17858.954791666667</v>
      </c>
      <c r="M51" s="230">
        <f>SUM(M50)</f>
        <v>225</v>
      </c>
      <c r="N51" s="230">
        <f>SUM(N50)</f>
        <v>27479.884791666667</v>
      </c>
      <c r="O51" s="230">
        <f>SUM(O50)</f>
        <v>99020.115208333329</v>
      </c>
    </row>
    <row r="52" spans="1:15" s="248" customFormat="1" ht="35.1" customHeight="1" thickBot="1" x14ac:dyDescent="0.25">
      <c r="A52" s="146"/>
      <c r="B52" s="146"/>
      <c r="C52" s="146"/>
      <c r="D52" s="146"/>
      <c r="E52" s="146"/>
      <c r="F52" s="223"/>
      <c r="G52" s="223"/>
      <c r="H52" s="223"/>
      <c r="I52" s="223"/>
      <c r="J52" s="223"/>
      <c r="K52" s="223"/>
      <c r="L52" s="223"/>
      <c r="M52" s="223"/>
      <c r="N52" s="223"/>
      <c r="O52" s="223"/>
    </row>
    <row r="53" spans="1:15" s="248" customFormat="1" ht="35.1" customHeight="1" thickBot="1" x14ac:dyDescent="0.25">
      <c r="A53" s="347" t="s">
        <v>127</v>
      </c>
      <c r="B53" s="348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</row>
    <row r="54" spans="1:15" s="148" customFormat="1" ht="35.1" customHeight="1" x14ac:dyDescent="0.2">
      <c r="A54" s="240">
        <f>+A50+1</f>
        <v>28</v>
      </c>
      <c r="B54" s="72" t="s">
        <v>152</v>
      </c>
      <c r="C54" s="73" t="s">
        <v>339</v>
      </c>
      <c r="D54" s="238" t="s">
        <v>73</v>
      </c>
      <c r="E54" s="72" t="s">
        <v>98</v>
      </c>
      <c r="F54" s="221">
        <v>60000</v>
      </c>
      <c r="G54" s="68">
        <f>F54*2.87%</f>
        <v>1722</v>
      </c>
      <c r="H54" s="68">
        <f>+F54*3.04%</f>
        <v>1824</v>
      </c>
      <c r="I54" s="68">
        <v>1919.78</v>
      </c>
      <c r="J54" s="69">
        <f>+G54+H54+I54</f>
        <v>5465.78</v>
      </c>
      <c r="K54" s="69">
        <f>+F54-J54</f>
        <v>54534.22</v>
      </c>
      <c r="L54" s="69">
        <f>+IF(K54*12&lt;=416220.01,0,IF(K54*12&lt;=624329.01,(((K54*12-416220.01)*0.15)/12),IF((K54*12&lt;=867123.01),(31216+0.2*(K54*12-624329.01))/12,((79776+0.25*(K54*12-867123.01))/12))))</f>
        <v>3102.6938333333333</v>
      </c>
      <c r="M54" s="68">
        <v>990.29</v>
      </c>
      <c r="N54" s="220">
        <f>+M54+I54+H54+G54+L54</f>
        <v>9558.7638333333325</v>
      </c>
      <c r="O54" s="84">
        <f>+F54-N54</f>
        <v>50441.236166666669</v>
      </c>
    </row>
    <row r="55" spans="1:15" s="148" customFormat="1" ht="35.1" customHeight="1" x14ac:dyDescent="0.2">
      <c r="A55" s="228" t="s">
        <v>100</v>
      </c>
      <c r="B55" s="229"/>
      <c r="C55" s="229"/>
      <c r="D55" s="229"/>
      <c r="E55" s="245"/>
      <c r="F55" s="230">
        <f t="shared" ref="F55:L55" si="15">SUM(F54:F54)</f>
        <v>60000</v>
      </c>
      <c r="G55" s="230">
        <f t="shared" si="15"/>
        <v>1722</v>
      </c>
      <c r="H55" s="230">
        <f t="shared" si="15"/>
        <v>1824</v>
      </c>
      <c r="I55" s="230">
        <f t="shared" si="15"/>
        <v>1919.78</v>
      </c>
      <c r="J55" s="230">
        <f t="shared" si="15"/>
        <v>5465.78</v>
      </c>
      <c r="K55" s="230">
        <f t="shared" si="15"/>
        <v>54534.22</v>
      </c>
      <c r="L55" s="230">
        <f t="shared" si="15"/>
        <v>3102.6938333333333</v>
      </c>
      <c r="M55" s="230">
        <f>SUM(M54:M54)</f>
        <v>990.29</v>
      </c>
      <c r="N55" s="230">
        <f>SUM(N54:N54)</f>
        <v>9558.7638333333325</v>
      </c>
      <c r="O55" s="230">
        <f>SUM(O54:O54)</f>
        <v>50441.236166666669</v>
      </c>
    </row>
    <row r="56" spans="1:15" s="224" customFormat="1" ht="35.1" customHeight="1" thickBot="1" x14ac:dyDescent="0.25">
      <c r="A56" s="253"/>
      <c r="B56" s="253"/>
      <c r="C56" s="254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3"/>
    </row>
    <row r="57" spans="1:15" s="224" customFormat="1" ht="35.1" customHeight="1" thickBot="1" x14ac:dyDescent="0.25">
      <c r="A57" s="347" t="s">
        <v>128</v>
      </c>
      <c r="B57" s="348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5"/>
      <c r="N57" s="252"/>
      <c r="O57" s="252"/>
    </row>
    <row r="58" spans="1:15" s="211" customFormat="1" ht="36.75" customHeight="1" x14ac:dyDescent="0.2">
      <c r="A58" s="218">
        <f>+A54+1</f>
        <v>29</v>
      </c>
      <c r="B58" s="219" t="s">
        <v>208</v>
      </c>
      <c r="C58" s="218" t="s">
        <v>339</v>
      </c>
      <c r="D58" s="227" t="s">
        <v>589</v>
      </c>
      <c r="E58" s="72" t="s">
        <v>98</v>
      </c>
      <c r="F58" s="220">
        <v>110000</v>
      </c>
      <c r="G58" s="220">
        <f>F58*2.87%</f>
        <v>3157</v>
      </c>
      <c r="H58" s="68">
        <f>+F58*3.04%</f>
        <v>3344</v>
      </c>
      <c r="I58" s="69">
        <f>1919.78*2</f>
        <v>3839.56</v>
      </c>
      <c r="J58" s="69">
        <f>+G58+H58+I58</f>
        <v>10340.56</v>
      </c>
      <c r="K58" s="69">
        <f>+F58-J58</f>
        <v>99659.44</v>
      </c>
      <c r="L58" s="69">
        <f>+IF(K58*12&lt;=416220.01,0,IF(K58*12&lt;=624329.01,(((K58*12-416220.01)*0.15)/12),IF((K58*12&lt;=867123.01),(31216+0.2*(K58*12-624329.01))/12,((79776+0.25*(K58*12-867123.01))/12))))</f>
        <v>13497.797291666668</v>
      </c>
      <c r="M58" s="226">
        <v>8731.0300000000007</v>
      </c>
      <c r="N58" s="220">
        <f>+M58+I58+H58+G58+L58</f>
        <v>32569.387291666666</v>
      </c>
      <c r="O58" s="84">
        <f>+F58-N58</f>
        <v>77430.612708333327</v>
      </c>
    </row>
    <row r="59" spans="1:15" s="148" customFormat="1" ht="35.1" customHeight="1" x14ac:dyDescent="0.2">
      <c r="A59" s="218">
        <f>+A58+1</f>
        <v>30</v>
      </c>
      <c r="B59" s="219" t="s">
        <v>48</v>
      </c>
      <c r="C59" s="218" t="s">
        <v>338</v>
      </c>
      <c r="D59" s="256" t="s">
        <v>589</v>
      </c>
      <c r="E59" s="219" t="s">
        <v>98</v>
      </c>
      <c r="F59" s="69">
        <v>110000</v>
      </c>
      <c r="G59" s="221">
        <f>F59*2.87%</f>
        <v>3157</v>
      </c>
      <c r="H59" s="68">
        <f>+F59*3.04%</f>
        <v>3344</v>
      </c>
      <c r="I59" s="68"/>
      <c r="J59" s="69">
        <f>+G59+H59+I59</f>
        <v>6501</v>
      </c>
      <c r="K59" s="69">
        <f>+F59-J59</f>
        <v>103499</v>
      </c>
      <c r="L59" s="69">
        <f>+IF(K59*12&lt;=416220.01,0,IF(K59*12&lt;=624329.01,(((K59*12-416220.01)*0.15)/12),IF((K59*12&lt;=867123.01),(31216+0.2*(K59*12-624329.01))/12,((79776+0.25*(K59*12-867123.01))/12))))</f>
        <v>14457.687291666667</v>
      </c>
      <c r="M59" s="239">
        <v>265</v>
      </c>
      <c r="N59" s="220">
        <f>+M59+I59+H59+G59+L59</f>
        <v>21223.687291666669</v>
      </c>
      <c r="O59" s="84">
        <f>+F59-N59</f>
        <v>88776.312708333338</v>
      </c>
    </row>
    <row r="60" spans="1:15" s="148" customFormat="1" ht="35.1" customHeight="1" x14ac:dyDescent="0.2">
      <c r="A60" s="218">
        <f>+A59+1</f>
        <v>31</v>
      </c>
      <c r="B60" s="225" t="s">
        <v>242</v>
      </c>
      <c r="C60" s="218" t="s">
        <v>339</v>
      </c>
      <c r="D60" s="256" t="s">
        <v>589</v>
      </c>
      <c r="E60" s="219" t="s">
        <v>97</v>
      </c>
      <c r="F60" s="69">
        <v>100000</v>
      </c>
      <c r="G60" s="221">
        <f>F60*2.87%</f>
        <v>2870</v>
      </c>
      <c r="H60" s="68">
        <f>+F60*3.04%</f>
        <v>3040</v>
      </c>
      <c r="I60" s="68"/>
      <c r="J60" s="69">
        <f>+G60+H60+I60</f>
        <v>5910</v>
      </c>
      <c r="K60" s="69">
        <f>+F60-J60</f>
        <v>94090</v>
      </c>
      <c r="L60" s="69">
        <f>+IF(K60*12&lt;=416220.01,0,IF(K60*12&lt;=624329.01,(((K60*12-416220.01)*0.15)/12),IF((K60*12&lt;=867123.01),(31216+0.2*(K60*12-624329.01))/12,((79776+0.25*(K60*12-867123.01))/12))))</f>
        <v>12105.437291666667</v>
      </c>
      <c r="M60" s="226">
        <v>18204.63</v>
      </c>
      <c r="N60" s="220">
        <f>+M60+I60+H60+G60+L60</f>
        <v>36220.067291666666</v>
      </c>
      <c r="O60" s="84">
        <f>+F60-N60</f>
        <v>63779.932708333334</v>
      </c>
    </row>
    <row r="61" spans="1:15" s="148" customFormat="1" ht="35.1" customHeight="1" x14ac:dyDescent="0.2">
      <c r="A61" s="228" t="s">
        <v>100</v>
      </c>
      <c r="B61" s="229"/>
      <c r="C61" s="229"/>
      <c r="D61" s="229"/>
      <c r="E61" s="245"/>
      <c r="F61" s="230">
        <f t="shared" ref="F61:O61" si="16">SUM(F58:F60)</f>
        <v>320000</v>
      </c>
      <c r="G61" s="230">
        <f t="shared" si="16"/>
        <v>9184</v>
      </c>
      <c r="H61" s="230">
        <f t="shared" si="16"/>
        <v>9728</v>
      </c>
      <c r="I61" s="230">
        <f t="shared" si="16"/>
        <v>3839.56</v>
      </c>
      <c r="J61" s="230">
        <f t="shared" si="16"/>
        <v>22751.559999999998</v>
      </c>
      <c r="K61" s="230">
        <f t="shared" si="16"/>
        <v>297248.44</v>
      </c>
      <c r="L61" s="230">
        <f t="shared" si="16"/>
        <v>40060.921875</v>
      </c>
      <c r="M61" s="230">
        <f t="shared" si="16"/>
        <v>27200.660000000003</v>
      </c>
      <c r="N61" s="230">
        <f t="shared" si="16"/>
        <v>90013.141875000001</v>
      </c>
      <c r="O61" s="230">
        <f t="shared" si="16"/>
        <v>229986.858125</v>
      </c>
    </row>
    <row r="62" spans="1:15" s="148" customFormat="1" ht="35.1" customHeight="1" thickBot="1" x14ac:dyDescent="0.25">
      <c r="A62" s="208"/>
      <c r="B62" s="147"/>
      <c r="C62" s="208"/>
      <c r="D62" s="233"/>
      <c r="E62" s="147"/>
    </row>
    <row r="63" spans="1:15" s="148" customFormat="1" ht="35.1" customHeight="1" thickBot="1" x14ac:dyDescent="0.25">
      <c r="A63" s="347" t="s">
        <v>155</v>
      </c>
      <c r="B63" s="348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7"/>
    </row>
    <row r="64" spans="1:15" s="211" customFormat="1" ht="35.1" customHeight="1" x14ac:dyDescent="0.2">
      <c r="A64" s="240">
        <f>+A60+1</f>
        <v>32</v>
      </c>
      <c r="B64" s="72" t="s">
        <v>213</v>
      </c>
      <c r="C64" s="73" t="s">
        <v>339</v>
      </c>
      <c r="D64" s="238" t="s">
        <v>589</v>
      </c>
      <c r="E64" s="72" t="s">
        <v>98</v>
      </c>
      <c r="F64" s="221">
        <v>104000</v>
      </c>
      <c r="G64" s="68">
        <f>F64*2.87%</f>
        <v>2984.8</v>
      </c>
      <c r="H64" s="68">
        <f>+F64*3.04%</f>
        <v>3161.6</v>
      </c>
      <c r="I64" s="68">
        <f>1919.78*2</f>
        <v>3839.56</v>
      </c>
      <c r="J64" s="69">
        <f>+G64+H64+I64</f>
        <v>9985.9599999999991</v>
      </c>
      <c r="K64" s="69">
        <f>+F64-J64</f>
        <v>94014.040000000008</v>
      </c>
      <c r="L64" s="69">
        <f>+IF(K64*12&lt;=416220.01,0,IF(K64*12&lt;=624329.01,(((K64*12-416220.01)*0.15)/12),IF((K64*12&lt;=867123.01),(31216+0.2*(K64*12-624329.01))/12,((79776+0.25*(K64*12-867123.01))/12))))</f>
        <v>12086.447291666665</v>
      </c>
      <c r="M64" s="239">
        <v>17647.05</v>
      </c>
      <c r="N64" s="220">
        <f>+M64+I64+H64+G64+L64</f>
        <v>39719.457291666666</v>
      </c>
      <c r="O64" s="84">
        <f>+F64-N64</f>
        <v>64280.542708333334</v>
      </c>
    </row>
    <row r="65" spans="1:15" s="248" customFormat="1" ht="35.1" customHeight="1" x14ac:dyDescent="0.2">
      <c r="A65" s="218">
        <f>+A64+1</f>
        <v>33</v>
      </c>
      <c r="B65" s="72" t="s">
        <v>40</v>
      </c>
      <c r="C65" s="73" t="s">
        <v>338</v>
      </c>
      <c r="D65" s="238" t="s">
        <v>589</v>
      </c>
      <c r="E65" s="72" t="s">
        <v>97</v>
      </c>
      <c r="F65" s="221">
        <v>100000</v>
      </c>
      <c r="G65" s="221">
        <f>F65*2.87%</f>
        <v>2870</v>
      </c>
      <c r="H65" s="68">
        <f>+F65*3.04%</f>
        <v>3040</v>
      </c>
      <c r="I65" s="68">
        <v>1919.78</v>
      </c>
      <c r="J65" s="69">
        <f>+G65+H65+I65</f>
        <v>7829.78</v>
      </c>
      <c r="K65" s="69">
        <f>+F65-J65</f>
        <v>92170.22</v>
      </c>
      <c r="L65" s="69">
        <f>+IF(K65*12&lt;=416220.01,0,IF(K65*12&lt;=624329.01,(((K65*12-416220.01)*0.15)/12),IF((K65*12&lt;=867123.01),(31216+0.2*(K65*12-624329.01))/12,((79776+0.25*(K65*12-867123.01))/12))))</f>
        <v>11625.492291666669</v>
      </c>
      <c r="M65" s="226">
        <v>5333.45</v>
      </c>
      <c r="N65" s="220">
        <f>+M65+I65+H65+G65+L65</f>
        <v>24788.722291666669</v>
      </c>
      <c r="O65" s="84">
        <f>+F65-N65</f>
        <v>75211.277708333335</v>
      </c>
    </row>
    <row r="66" spans="1:15" s="248" customFormat="1" ht="35.1" customHeight="1" x14ac:dyDescent="0.2">
      <c r="A66" s="218">
        <f>+A65+1</f>
        <v>34</v>
      </c>
      <c r="B66" s="72" t="s">
        <v>212</v>
      </c>
      <c r="C66" s="73" t="s">
        <v>338</v>
      </c>
      <c r="D66" s="238" t="s">
        <v>589</v>
      </c>
      <c r="E66" s="72" t="s">
        <v>97</v>
      </c>
      <c r="F66" s="221">
        <v>90000</v>
      </c>
      <c r="G66" s="221">
        <f>F66*2.87%</f>
        <v>2583</v>
      </c>
      <c r="H66" s="68">
        <f>+F66*3.04%</f>
        <v>2736</v>
      </c>
      <c r="I66" s="68">
        <f>1919.78*2</f>
        <v>3839.56</v>
      </c>
      <c r="J66" s="69">
        <f>+G66+H66+I66</f>
        <v>9158.56</v>
      </c>
      <c r="K66" s="69">
        <f>+F66-J66</f>
        <v>80841.440000000002</v>
      </c>
      <c r="L66" s="69">
        <f>+IF(K66*12&lt;=416220.01,0,IF(K66*12&lt;=624329.01,(((K66*12-416220.01)*0.15)/12),IF((K66*12&lt;=867123.01),(31216+0.2*(K66*12-624329.01))/12,((79776+0.25*(K66*12-867123.01))/12))))</f>
        <v>8793.2972916666677</v>
      </c>
      <c r="M66" s="226">
        <v>5567.54</v>
      </c>
      <c r="N66" s="220">
        <f>+M66+I66+H66+G66+L66</f>
        <v>23519.397291666668</v>
      </c>
      <c r="O66" s="84">
        <f>+F66-N66</f>
        <v>66480.602708333332</v>
      </c>
    </row>
    <row r="67" spans="1:15" s="148" customFormat="1" ht="45.75" customHeight="1" thickBot="1" x14ac:dyDescent="0.25">
      <c r="A67" s="228" t="s">
        <v>100</v>
      </c>
      <c r="B67" s="229"/>
      <c r="C67" s="229"/>
      <c r="D67" s="229"/>
      <c r="E67" s="245"/>
      <c r="F67" s="230">
        <f t="shared" ref="F67:O67" si="17">SUM(F64:F66)</f>
        <v>294000</v>
      </c>
      <c r="G67" s="230">
        <f t="shared" si="17"/>
        <v>8437.7999999999993</v>
      </c>
      <c r="H67" s="230">
        <f t="shared" si="17"/>
        <v>8937.6</v>
      </c>
      <c r="I67" s="230">
        <f t="shared" si="17"/>
        <v>9598.9</v>
      </c>
      <c r="J67" s="230">
        <f t="shared" si="17"/>
        <v>26974.299999999996</v>
      </c>
      <c r="K67" s="230">
        <f t="shared" si="17"/>
        <v>267025.7</v>
      </c>
      <c r="L67" s="230">
        <f t="shared" si="17"/>
        <v>32505.236875000002</v>
      </c>
      <c r="M67" s="230">
        <f t="shared" si="17"/>
        <v>28548.04</v>
      </c>
      <c r="N67" s="230">
        <f t="shared" si="17"/>
        <v>88027.576874999999</v>
      </c>
      <c r="O67" s="230">
        <f t="shared" si="17"/>
        <v>205972.42312500003</v>
      </c>
    </row>
    <row r="68" spans="1:15" s="231" customFormat="1" ht="35.1" customHeight="1" thickBot="1" x14ac:dyDescent="0.25">
      <c r="A68" s="347" t="s">
        <v>129</v>
      </c>
      <c r="B68" s="348"/>
      <c r="C68" s="348"/>
      <c r="D68" s="252"/>
      <c r="E68" s="252"/>
      <c r="F68" s="252"/>
      <c r="G68" s="252"/>
      <c r="H68" s="252"/>
      <c r="I68" s="252"/>
      <c r="J68" s="252"/>
      <c r="K68" s="252"/>
      <c r="L68" s="252"/>
      <c r="M68" s="255"/>
      <c r="N68" s="252"/>
      <c r="O68" s="252"/>
    </row>
    <row r="69" spans="1:15" s="148" customFormat="1" ht="35.1" customHeight="1" x14ac:dyDescent="0.2">
      <c r="A69" s="242">
        <f>+A66+1</f>
        <v>35</v>
      </c>
      <c r="B69" s="250" t="s">
        <v>47</v>
      </c>
      <c r="C69" s="242" t="s">
        <v>339</v>
      </c>
      <c r="D69" s="256" t="s">
        <v>156</v>
      </c>
      <c r="E69" s="243" t="s">
        <v>98</v>
      </c>
      <c r="F69" s="69">
        <v>138000</v>
      </c>
      <c r="G69" s="68">
        <f>F69*2.87%</f>
        <v>3960.6</v>
      </c>
      <c r="H69" s="68">
        <f>+F69*3.04%</f>
        <v>4195.2</v>
      </c>
      <c r="I69" s="69"/>
      <c r="J69" s="69">
        <f>+G69+H69+I69</f>
        <v>8155.7999999999993</v>
      </c>
      <c r="K69" s="69">
        <f>+F69-J69</f>
        <v>129844.2</v>
      </c>
      <c r="L69" s="69">
        <f>+IF(K69*12&lt;=416220.01,0,IF(K69*12&lt;=624329.01,(((K69*12-416220.01)*0.15)/12),IF((K69*12&lt;=867123.01),(31216+0.2*(K69*12-624329.01))/12,((79776+0.25*(K69*12-867123.01))/12))))</f>
        <v>21043.987291666665</v>
      </c>
      <c r="M69" s="222">
        <v>37548.35</v>
      </c>
      <c r="N69" s="220">
        <f>+M69+I69+H69+G69+L69</f>
        <v>66748.137291666659</v>
      </c>
      <c r="O69" s="222">
        <f>+F69-N69</f>
        <v>71251.862708333341</v>
      </c>
    </row>
    <row r="70" spans="1:15" s="258" customFormat="1" ht="35.1" customHeight="1" x14ac:dyDescent="0.2">
      <c r="A70" s="240">
        <f>+A69+1</f>
        <v>36</v>
      </c>
      <c r="B70" s="72" t="s">
        <v>46</v>
      </c>
      <c r="C70" s="73" t="s">
        <v>339</v>
      </c>
      <c r="D70" s="238" t="s">
        <v>73</v>
      </c>
      <c r="E70" s="72" t="s">
        <v>97</v>
      </c>
      <c r="F70" s="221">
        <v>60000</v>
      </c>
      <c r="G70" s="221">
        <f>F70*2.87%</f>
        <v>1722</v>
      </c>
      <c r="H70" s="68">
        <f>+F70*3.04%</f>
        <v>1824</v>
      </c>
      <c r="I70" s="68"/>
      <c r="J70" s="69">
        <f>+G70+H70+I70</f>
        <v>3546</v>
      </c>
      <c r="K70" s="69">
        <f>+F70-J70</f>
        <v>56454</v>
      </c>
      <c r="L70" s="69">
        <f>+IF(K70*12&lt;=416220.01,0,IF(K70*12&lt;=624329.01,(((K70*12-416220.01)*0.15)/12),IF((K70*12&lt;=867123.01),(31216+0.2*(K70*12-624329.01))/12,((79776+0.25*(K70*12-867123.01))/12))))</f>
        <v>3486.6498333333329</v>
      </c>
      <c r="M70" s="84">
        <v>1290.29</v>
      </c>
      <c r="N70" s="220">
        <f>+M70+I70+H70+G70+L70</f>
        <v>8322.9398333333338</v>
      </c>
      <c r="O70" s="84">
        <f>+F70-N70</f>
        <v>51677.060166666663</v>
      </c>
    </row>
    <row r="71" spans="1:15" s="224" customFormat="1" ht="35.1" customHeight="1" x14ac:dyDescent="0.2">
      <c r="A71" s="228" t="s">
        <v>100</v>
      </c>
      <c r="B71" s="229"/>
      <c r="C71" s="229"/>
      <c r="D71" s="229"/>
      <c r="E71" s="245"/>
      <c r="F71" s="230">
        <f t="shared" ref="F71:L71" si="18">SUM(F69:F70)</f>
        <v>198000</v>
      </c>
      <c r="G71" s="230">
        <f t="shared" si="18"/>
        <v>5682.6</v>
      </c>
      <c r="H71" s="230">
        <f t="shared" si="18"/>
        <v>6019.2</v>
      </c>
      <c r="I71" s="230">
        <f t="shared" si="18"/>
        <v>0</v>
      </c>
      <c r="J71" s="230">
        <f t="shared" si="18"/>
        <v>11701.8</v>
      </c>
      <c r="K71" s="230">
        <f t="shared" si="18"/>
        <v>186298.2</v>
      </c>
      <c r="L71" s="230">
        <f t="shared" si="18"/>
        <v>24530.637124999997</v>
      </c>
      <c r="M71" s="230">
        <f>SUM(M69:M70)</f>
        <v>38838.639999999999</v>
      </c>
      <c r="N71" s="230">
        <f>SUM(N69:N70)</f>
        <v>75071.077124999996</v>
      </c>
      <c r="O71" s="230">
        <f>SUM(O69:O70)</f>
        <v>122928.922875</v>
      </c>
    </row>
    <row r="72" spans="1:15" s="248" customFormat="1" ht="35.1" customHeight="1" thickBot="1" x14ac:dyDescent="0.25">
      <c r="A72" s="208"/>
      <c r="B72" s="147"/>
      <c r="C72" s="208"/>
      <c r="D72" s="147"/>
      <c r="E72" s="147"/>
      <c r="F72" s="148"/>
      <c r="G72" s="148"/>
      <c r="H72" s="148"/>
      <c r="I72" s="148"/>
      <c r="J72" s="148"/>
      <c r="K72" s="148"/>
      <c r="L72" s="148"/>
      <c r="M72" s="148"/>
      <c r="N72" s="148"/>
      <c r="O72" s="148"/>
    </row>
    <row r="73" spans="1:15" s="223" customFormat="1" ht="35.1" customHeight="1" thickBot="1" x14ac:dyDescent="0.25">
      <c r="A73" s="347" t="s">
        <v>130</v>
      </c>
      <c r="B73" s="348"/>
      <c r="C73" s="348"/>
      <c r="D73" s="348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</row>
    <row r="74" spans="1:15" s="248" customFormat="1" ht="35.1" customHeight="1" x14ac:dyDescent="0.2">
      <c r="A74" s="240">
        <f>+A70+1</f>
        <v>37</v>
      </c>
      <c r="B74" s="72" t="s">
        <v>436</v>
      </c>
      <c r="C74" s="73" t="s">
        <v>339</v>
      </c>
      <c r="D74" s="238" t="s">
        <v>589</v>
      </c>
      <c r="E74" s="72" t="s">
        <v>474</v>
      </c>
      <c r="F74" s="221">
        <v>110000</v>
      </c>
      <c r="G74" s="69">
        <f>F74*2.87%</f>
        <v>3157</v>
      </c>
      <c r="H74" s="69">
        <f>+F74*3.04%</f>
        <v>3344</v>
      </c>
      <c r="I74" s="68">
        <v>1919.78</v>
      </c>
      <c r="J74" s="69">
        <f>+G74+H74+I74</f>
        <v>8420.7800000000007</v>
      </c>
      <c r="K74" s="69">
        <f>+F74-J74</f>
        <v>101579.22</v>
      </c>
      <c r="L74" s="69">
        <f>+IF(K74*12&lt;=416220.01,0,IF(K74*12&lt;=624329.01,(((K74*12-416220.01)*0.15)/12),IF((K74*12&lt;=867123.01),(31216+0.2*(K74*12-624329.01))/12,((79776+0.25*(K74*12-867123.01))/12))))</f>
        <v>13977.742291666669</v>
      </c>
      <c r="M74" s="84">
        <v>25</v>
      </c>
      <c r="N74" s="220">
        <f>+M74+I74+H74+G74+L74</f>
        <v>22423.522291666668</v>
      </c>
      <c r="O74" s="84">
        <f>+F74-N74</f>
        <v>87576.477708333332</v>
      </c>
    </row>
    <row r="75" spans="1:15" s="224" customFormat="1" ht="35.1" customHeight="1" x14ac:dyDescent="0.2">
      <c r="A75" s="240">
        <f>+A74+1</f>
        <v>38</v>
      </c>
      <c r="B75" s="72" t="s">
        <v>234</v>
      </c>
      <c r="C75" s="73" t="s">
        <v>339</v>
      </c>
      <c r="D75" s="238" t="s">
        <v>589</v>
      </c>
      <c r="E75" s="72" t="s">
        <v>97</v>
      </c>
      <c r="F75" s="221">
        <v>90000</v>
      </c>
      <c r="G75" s="221">
        <f>F75*2.87%</f>
        <v>2583</v>
      </c>
      <c r="H75" s="68">
        <f>+F75*3.04%</f>
        <v>2736</v>
      </c>
      <c r="I75" s="68">
        <v>1919.78</v>
      </c>
      <c r="J75" s="69">
        <f>+G75+H75+I75</f>
        <v>7238.78</v>
      </c>
      <c r="K75" s="69">
        <f>+F75-J75</f>
        <v>82761.22</v>
      </c>
      <c r="L75" s="69">
        <f>+IF(K75*12&lt;=416220.01,0,IF(K75*12&lt;=624329.01,(((K75*12-416220.01)*0.15)/12),IF((K75*12&lt;=867123.01),(31216+0.2*(K75*12-624329.01))/12,((79776+0.25*(K75*12-867123.01))/12))))</f>
        <v>9273.2422916666674</v>
      </c>
      <c r="M75" s="222">
        <v>14950.29</v>
      </c>
      <c r="N75" s="220">
        <f>+M75+I75+H75+G75+L75</f>
        <v>31462.312291666669</v>
      </c>
      <c r="O75" s="84">
        <f>+F75-N75</f>
        <v>58537.687708333331</v>
      </c>
    </row>
    <row r="76" spans="1:15" s="148" customFormat="1" ht="35.1" customHeight="1" x14ac:dyDescent="0.2">
      <c r="A76" s="240">
        <f>+A75+1</f>
        <v>39</v>
      </c>
      <c r="B76" s="72" t="s">
        <v>372</v>
      </c>
      <c r="C76" s="73" t="s">
        <v>338</v>
      </c>
      <c r="D76" s="238" t="s">
        <v>589</v>
      </c>
      <c r="E76" s="72" t="s">
        <v>474</v>
      </c>
      <c r="F76" s="221">
        <v>90000</v>
      </c>
      <c r="G76" s="69">
        <f>F76*2.87%</f>
        <v>2583</v>
      </c>
      <c r="H76" s="69">
        <f>+F76*3.04%</f>
        <v>2736</v>
      </c>
      <c r="I76" s="69"/>
      <c r="J76" s="69">
        <f>+G76+H76+I76</f>
        <v>5319</v>
      </c>
      <c r="K76" s="69">
        <f>+F76-J76</f>
        <v>84681</v>
      </c>
      <c r="L76" s="69">
        <f>+IF(K76*12&lt;=416220.01,0,IF(K76*12&lt;=624329.01,(((K76*12-416220.01)*0.15)/12),IF((K76*12&lt;=867123.01),(31216+0.2*(K76*12-624329.01))/12,((79776+0.25*(K76*12-867123.01))/12))))</f>
        <v>9753.1872916666671</v>
      </c>
      <c r="M76" s="84">
        <v>1290.29</v>
      </c>
      <c r="N76" s="220">
        <f>+M76+I76+H76+G76+L76</f>
        <v>16362.477291666666</v>
      </c>
      <c r="O76" s="84">
        <f>+F76-N76</f>
        <v>73637.52270833333</v>
      </c>
    </row>
    <row r="77" spans="1:15" s="148" customFormat="1" ht="35.1" customHeight="1" x14ac:dyDescent="0.2">
      <c r="A77" s="240">
        <f>+A76+1</f>
        <v>40</v>
      </c>
      <c r="B77" s="72" t="s">
        <v>603</v>
      </c>
      <c r="C77" s="73" t="s">
        <v>339</v>
      </c>
      <c r="D77" s="238" t="s">
        <v>589</v>
      </c>
      <c r="E77" s="72" t="s">
        <v>474</v>
      </c>
      <c r="F77" s="221">
        <v>80000</v>
      </c>
      <c r="G77" s="69">
        <f>F77*2.87%</f>
        <v>2296</v>
      </c>
      <c r="H77" s="69">
        <f>+F77*3.04%</f>
        <v>2432</v>
      </c>
      <c r="I77" s="69"/>
      <c r="J77" s="69">
        <f>+G77+H77+I77</f>
        <v>4728</v>
      </c>
      <c r="K77" s="69">
        <f>+F77-J77</f>
        <v>75272</v>
      </c>
      <c r="L77" s="69">
        <f>+IF(K77*12&lt;=416220.01,0,IF(K77*12&lt;=624329.01,(((K77*12-416220.01)*0.15)/12),IF((K77*12&lt;=867123.01),(31216+0.2*(K77*12-624329.01))/12,((79776+0.25*(K77*12-867123.01))/12))))</f>
        <v>7400.9372916666662</v>
      </c>
      <c r="M77" s="84">
        <v>225</v>
      </c>
      <c r="N77" s="220">
        <f>+M77+I77+H77+G77+L77</f>
        <v>12353.937291666665</v>
      </c>
      <c r="O77" s="84">
        <f>+F77-N77</f>
        <v>67646.062708333338</v>
      </c>
    </row>
    <row r="78" spans="1:15" s="148" customFormat="1" ht="35.1" customHeight="1" x14ac:dyDescent="0.2">
      <c r="A78" s="228" t="s">
        <v>100</v>
      </c>
      <c r="B78" s="229"/>
      <c r="C78" s="229"/>
      <c r="D78" s="229"/>
      <c r="E78" s="245"/>
      <c r="F78" s="230">
        <f>SUM(F74:F77)</f>
        <v>370000</v>
      </c>
      <c r="G78" s="230">
        <f t="shared" ref="G78:O78" si="19">SUM(G74:G77)</f>
        <v>10619</v>
      </c>
      <c r="H78" s="230">
        <f t="shared" si="19"/>
        <v>11248</v>
      </c>
      <c r="I78" s="230">
        <f t="shared" si="19"/>
        <v>3839.56</v>
      </c>
      <c r="J78" s="230">
        <f t="shared" si="19"/>
        <v>25706.560000000001</v>
      </c>
      <c r="K78" s="230">
        <f t="shared" si="19"/>
        <v>344293.44</v>
      </c>
      <c r="L78" s="230">
        <f t="shared" si="19"/>
        <v>40405.109166666676</v>
      </c>
      <c r="M78" s="230">
        <f t="shared" si="19"/>
        <v>16490.580000000002</v>
      </c>
      <c r="N78" s="230">
        <f t="shared" si="19"/>
        <v>82602.249166666661</v>
      </c>
      <c r="O78" s="230">
        <f t="shared" si="19"/>
        <v>287397.75083333335</v>
      </c>
    </row>
    <row r="79" spans="1:15" s="224" customFormat="1" ht="35.1" customHeight="1" thickBot="1" x14ac:dyDescent="0.25">
      <c r="A79" s="208"/>
      <c r="B79" s="147"/>
      <c r="C79" s="208"/>
      <c r="D79" s="233"/>
      <c r="E79" s="147"/>
      <c r="F79" s="148"/>
      <c r="G79" s="148"/>
      <c r="H79" s="148"/>
      <c r="I79" s="148"/>
      <c r="J79" s="148"/>
      <c r="K79" s="148"/>
      <c r="L79" s="148"/>
      <c r="M79" s="148"/>
      <c r="N79" s="148"/>
      <c r="O79" s="148"/>
    </row>
    <row r="80" spans="1:15" s="224" customFormat="1" ht="35.1" customHeight="1" thickBot="1" x14ac:dyDescent="0.25">
      <c r="A80" s="347" t="s">
        <v>131</v>
      </c>
      <c r="B80" s="348"/>
      <c r="C80" s="348"/>
      <c r="D80" s="348"/>
      <c r="E80" s="252"/>
      <c r="F80" s="252"/>
      <c r="G80" s="252"/>
      <c r="H80" s="252"/>
      <c r="I80" s="252"/>
      <c r="J80" s="252"/>
      <c r="K80" s="252"/>
      <c r="L80" s="252"/>
      <c r="M80" s="252"/>
      <c r="N80" s="252"/>
      <c r="O80" s="252"/>
    </row>
    <row r="81" spans="1:15" s="148" customFormat="1" ht="35.1" customHeight="1" x14ac:dyDescent="0.2">
      <c r="A81" s="73">
        <f>+A77+1</f>
        <v>41</v>
      </c>
      <c r="B81" s="259" t="s">
        <v>132</v>
      </c>
      <c r="C81" s="260" t="s">
        <v>339</v>
      </c>
      <c r="D81" s="72" t="s">
        <v>589</v>
      </c>
      <c r="E81" s="72" t="s">
        <v>98</v>
      </c>
      <c r="F81" s="261">
        <v>100000</v>
      </c>
      <c r="G81" s="221">
        <f>F81*2.87%</f>
        <v>2870</v>
      </c>
      <c r="H81" s="221">
        <f>+F81*3.04%</f>
        <v>3040</v>
      </c>
      <c r="I81" s="221">
        <f>1919.78*2</f>
        <v>3839.56</v>
      </c>
      <c r="J81" s="221">
        <f>+G81+H81+I81</f>
        <v>9749.56</v>
      </c>
      <c r="K81" s="221">
        <f>+F81-J81</f>
        <v>90250.44</v>
      </c>
      <c r="L81" s="221">
        <f>+IF(K81*12&lt;=416220.01,0,IF(K81*12&lt;=624329.01,(((K81*12-416220.01)*0.15)/12),IF((K81*12&lt;=867123.01),(31216+0.2*(K81*12-624329.01))/12,((79776+0.25*(K81*12-867123.01))/12))))</f>
        <v>11145.547291666668</v>
      </c>
      <c r="M81" s="226">
        <v>4743.3599999999997</v>
      </c>
      <c r="N81" s="221">
        <f>+M81+I81+H81+G81+L81</f>
        <v>25638.467291666668</v>
      </c>
      <c r="O81" s="226">
        <f>+F81-N81</f>
        <v>74361.53270833334</v>
      </c>
    </row>
    <row r="82" spans="1:15" s="148" customFormat="1" ht="35.1" customHeight="1" x14ac:dyDescent="0.2">
      <c r="A82" s="73">
        <f>+A81+1</f>
        <v>42</v>
      </c>
      <c r="B82" s="259" t="s">
        <v>34</v>
      </c>
      <c r="C82" s="260" t="s">
        <v>339</v>
      </c>
      <c r="D82" s="72" t="s">
        <v>589</v>
      </c>
      <c r="E82" s="72" t="s">
        <v>98</v>
      </c>
      <c r="F82" s="261">
        <v>95000</v>
      </c>
      <c r="G82" s="221">
        <f>F82*2.87%</f>
        <v>2726.5</v>
      </c>
      <c r="H82" s="221">
        <f>+F82*3.04%</f>
        <v>2888</v>
      </c>
      <c r="I82" s="221"/>
      <c r="J82" s="221">
        <f>+G82+H82+I82</f>
        <v>5614.5</v>
      </c>
      <c r="K82" s="221">
        <f>+F82-J82</f>
        <v>89385.5</v>
      </c>
      <c r="L82" s="221">
        <f t="shared" ref="L82:L83" si="20">+IF(K82*12&lt;=416220.01,0,IF(K82*12&lt;=624329.01,(((K82*12-416220.01)*0.15)/12),IF((K82*12&lt;=867123.01),(31216+0.2*(K82*12-624329.01))/12,((79776+0.25*(K82*12-867123.01))/12))))</f>
        <v>10929.312291666667</v>
      </c>
      <c r="M82" s="226">
        <v>225</v>
      </c>
      <c r="N82" s="221">
        <f>+M82+I82+H82+G82+L82</f>
        <v>16768.812291666669</v>
      </c>
      <c r="O82" s="226">
        <f>+F82-N82</f>
        <v>78231.187708333338</v>
      </c>
    </row>
    <row r="83" spans="1:15" s="148" customFormat="1" ht="35.1" customHeight="1" x14ac:dyDescent="0.2">
      <c r="A83" s="218">
        <f>+A82+1</f>
        <v>43</v>
      </c>
      <c r="B83" s="259" t="s">
        <v>60</v>
      </c>
      <c r="C83" s="260" t="s">
        <v>339</v>
      </c>
      <c r="D83" s="72" t="s">
        <v>589</v>
      </c>
      <c r="E83" s="72" t="s">
        <v>97</v>
      </c>
      <c r="F83" s="261">
        <v>90000</v>
      </c>
      <c r="G83" s="221">
        <f>F83*2.87%</f>
        <v>2583</v>
      </c>
      <c r="H83" s="221">
        <f>+F83*3.04%</f>
        <v>2736</v>
      </c>
      <c r="I83" s="221">
        <v>1919.78</v>
      </c>
      <c r="J83" s="220">
        <f>+G83+H83+I83</f>
        <v>7238.78</v>
      </c>
      <c r="K83" s="220">
        <f>+F83-J83</f>
        <v>82761.22</v>
      </c>
      <c r="L83" s="221">
        <f t="shared" si="20"/>
        <v>9273.2422916666674</v>
      </c>
      <c r="M83" s="226">
        <v>11013.52</v>
      </c>
      <c r="N83" s="220">
        <f>+M83+I83+H83+G83+L83</f>
        <v>27525.542291666672</v>
      </c>
      <c r="O83" s="222">
        <f>+F83-N83</f>
        <v>62474.457708333328</v>
      </c>
    </row>
    <row r="84" spans="1:15" s="148" customFormat="1" ht="35.1" customHeight="1" x14ac:dyDescent="0.2">
      <c r="A84" s="228" t="s">
        <v>100</v>
      </c>
      <c r="B84" s="229"/>
      <c r="C84" s="229"/>
      <c r="D84" s="229"/>
      <c r="E84" s="245"/>
      <c r="F84" s="230">
        <f t="shared" ref="F84:O84" si="21">SUM(F81:F83)</f>
        <v>285000</v>
      </c>
      <c r="G84" s="230">
        <f t="shared" si="21"/>
        <v>8179.5</v>
      </c>
      <c r="H84" s="230">
        <f t="shared" si="21"/>
        <v>8664</v>
      </c>
      <c r="I84" s="230">
        <f t="shared" si="21"/>
        <v>5759.34</v>
      </c>
      <c r="J84" s="230">
        <f t="shared" si="21"/>
        <v>22602.84</v>
      </c>
      <c r="K84" s="230">
        <f t="shared" si="21"/>
        <v>262397.16000000003</v>
      </c>
      <c r="L84" s="230">
        <f t="shared" si="21"/>
        <v>31348.101875</v>
      </c>
      <c r="M84" s="230">
        <f t="shared" si="21"/>
        <v>15981.880000000001</v>
      </c>
      <c r="N84" s="230">
        <f t="shared" si="21"/>
        <v>69932.821875000009</v>
      </c>
      <c r="O84" s="230">
        <f t="shared" si="21"/>
        <v>215067.17812500001</v>
      </c>
    </row>
    <row r="85" spans="1:15" s="148" customFormat="1" ht="35.1" customHeight="1" thickBot="1" x14ac:dyDescent="0.25">
      <c r="A85" s="208"/>
      <c r="B85" s="147"/>
      <c r="C85" s="208"/>
      <c r="D85" s="233"/>
      <c r="E85" s="147"/>
    </row>
    <row r="86" spans="1:15" s="148" customFormat="1" ht="35.1" customHeight="1" thickBot="1" x14ac:dyDescent="0.25">
      <c r="A86" s="345" t="s">
        <v>133</v>
      </c>
      <c r="B86" s="346"/>
      <c r="C86" s="346"/>
      <c r="D86" s="346"/>
      <c r="E86" s="252"/>
      <c r="F86" s="252"/>
      <c r="G86" s="252"/>
      <c r="H86" s="252"/>
      <c r="I86" s="252"/>
      <c r="J86" s="252"/>
      <c r="K86" s="252"/>
      <c r="L86" s="252"/>
      <c r="M86" s="252"/>
      <c r="N86" s="252"/>
      <c r="O86" s="252"/>
    </row>
    <row r="87" spans="1:15" s="148" customFormat="1" ht="35.1" customHeight="1" x14ac:dyDescent="0.2">
      <c r="A87" s="240">
        <f>+A83+1</f>
        <v>44</v>
      </c>
      <c r="B87" s="243" t="s">
        <v>68</v>
      </c>
      <c r="C87" s="240" t="s">
        <v>339</v>
      </c>
      <c r="D87" s="256" t="s">
        <v>589</v>
      </c>
      <c r="E87" s="243" t="s">
        <v>98</v>
      </c>
      <c r="F87" s="68">
        <v>100000</v>
      </c>
      <c r="G87" s="221">
        <f>F87*2.87%</f>
        <v>2870</v>
      </c>
      <c r="H87" s="221">
        <f>+F87*3.04%</f>
        <v>3040</v>
      </c>
      <c r="I87" s="68">
        <v>0</v>
      </c>
      <c r="J87" s="69">
        <f>+G87+H87+I87</f>
        <v>5910</v>
      </c>
      <c r="K87" s="69">
        <f>+F87-J87</f>
        <v>94090</v>
      </c>
      <c r="L87" s="220">
        <f t="shared" ref="L87:L89" si="22">+IF(K87*12&lt;=416220.01,0,IF(K87*12&lt;=624329.01,(((K87*12-416220.01)*0.15)/12),IF((K87*12&lt;=867123.01),(31216+0.2*(K87*12-624329.01))/12,((79776+0.25*(K87*12-867123.01))/12))))</f>
        <v>12105.437291666667</v>
      </c>
      <c r="M87" s="226">
        <v>12126.21</v>
      </c>
      <c r="N87" s="220">
        <f>+M87+I87+H87+G87+L87</f>
        <v>30141.647291666668</v>
      </c>
      <c r="O87" s="84">
        <f>+F87-N87</f>
        <v>69858.352708333332</v>
      </c>
    </row>
    <row r="88" spans="1:15" s="148" customFormat="1" ht="35.1" customHeight="1" x14ac:dyDescent="0.2">
      <c r="A88" s="240">
        <f>+A87+1</f>
        <v>45</v>
      </c>
      <c r="B88" s="243" t="s">
        <v>217</v>
      </c>
      <c r="C88" s="240" t="s">
        <v>339</v>
      </c>
      <c r="D88" s="256" t="s">
        <v>589</v>
      </c>
      <c r="E88" s="243" t="s">
        <v>97</v>
      </c>
      <c r="F88" s="68">
        <v>95000</v>
      </c>
      <c r="G88" s="221">
        <f>F88*2.87%</f>
        <v>2726.5</v>
      </c>
      <c r="H88" s="221">
        <f>+F88*3.04%</f>
        <v>2888</v>
      </c>
      <c r="I88" s="221"/>
      <c r="J88" s="69">
        <f>+G88+H88+I88</f>
        <v>5614.5</v>
      </c>
      <c r="K88" s="69">
        <f>+F88-J88</f>
        <v>89385.5</v>
      </c>
      <c r="L88" s="220">
        <f t="shared" si="22"/>
        <v>10929.312291666667</v>
      </c>
      <c r="M88" s="226">
        <v>9314.56</v>
      </c>
      <c r="N88" s="220">
        <f>+M88+I88+H88+G88+L88</f>
        <v>25858.372291666667</v>
      </c>
      <c r="O88" s="84">
        <f>+F88-N88</f>
        <v>69141.627708333341</v>
      </c>
    </row>
    <row r="89" spans="1:15" s="148" customFormat="1" ht="35.1" customHeight="1" x14ac:dyDescent="0.2">
      <c r="A89" s="240">
        <f>+A88+1</f>
        <v>46</v>
      </c>
      <c r="B89" s="243" t="s">
        <v>215</v>
      </c>
      <c r="C89" s="240" t="s">
        <v>339</v>
      </c>
      <c r="D89" s="256" t="s">
        <v>589</v>
      </c>
      <c r="E89" s="243" t="s">
        <v>97</v>
      </c>
      <c r="F89" s="68">
        <v>85000</v>
      </c>
      <c r="G89" s="68">
        <v>2439.5</v>
      </c>
      <c r="H89" s="68">
        <v>2584</v>
      </c>
      <c r="I89" s="68"/>
      <c r="J89" s="69">
        <f>+G89+H89+I89</f>
        <v>5023.5</v>
      </c>
      <c r="K89" s="69">
        <f>+F89-J89</f>
        <v>79976.5</v>
      </c>
      <c r="L89" s="220">
        <f t="shared" si="22"/>
        <v>8577.0622916666671</v>
      </c>
      <c r="M89" s="226">
        <v>1290.29</v>
      </c>
      <c r="N89" s="220">
        <f>+M89+I89+H89+G89+L89</f>
        <v>14890.852291666666</v>
      </c>
      <c r="O89" s="84">
        <f>+F89-N89</f>
        <v>70109.14770833333</v>
      </c>
    </row>
    <row r="90" spans="1:15" s="211" customFormat="1" ht="35.1" customHeight="1" x14ac:dyDescent="0.2">
      <c r="A90" s="228" t="s">
        <v>100</v>
      </c>
      <c r="B90" s="229"/>
      <c r="C90" s="229"/>
      <c r="D90" s="229"/>
      <c r="E90" s="245"/>
      <c r="F90" s="230">
        <f t="shared" ref="F90:O90" si="23">SUM(F87:F89)</f>
        <v>280000</v>
      </c>
      <c r="G90" s="230">
        <f t="shared" si="23"/>
        <v>8036</v>
      </c>
      <c r="H90" s="230">
        <f t="shared" si="23"/>
        <v>8512</v>
      </c>
      <c r="I90" s="230">
        <f t="shared" si="23"/>
        <v>0</v>
      </c>
      <c r="J90" s="230">
        <f t="shared" si="23"/>
        <v>16548</v>
      </c>
      <c r="K90" s="230">
        <f t="shared" si="23"/>
        <v>263452</v>
      </c>
      <c r="L90" s="230">
        <f t="shared" si="23"/>
        <v>31611.811874999999</v>
      </c>
      <c r="M90" s="230">
        <f t="shared" si="23"/>
        <v>22731.059999999998</v>
      </c>
      <c r="N90" s="230">
        <f t="shared" si="23"/>
        <v>70890.871874999997</v>
      </c>
      <c r="O90" s="230">
        <f t="shared" si="23"/>
        <v>209109.12812499999</v>
      </c>
    </row>
    <row r="91" spans="1:15" s="224" customFormat="1" ht="35.1" customHeight="1" thickBot="1" x14ac:dyDescent="0.25">
      <c r="A91" s="208"/>
      <c r="B91" s="147"/>
      <c r="C91" s="208"/>
      <c r="D91" s="147"/>
      <c r="E91" s="147"/>
      <c r="F91" s="148"/>
      <c r="G91" s="149"/>
      <c r="H91" s="149"/>
      <c r="I91" s="149"/>
      <c r="J91" s="149"/>
      <c r="K91" s="149"/>
      <c r="L91" s="149"/>
      <c r="M91" s="149"/>
      <c r="N91" s="149"/>
      <c r="O91" s="149"/>
    </row>
    <row r="92" spans="1:15" s="224" customFormat="1" ht="35.1" customHeight="1" thickBot="1" x14ac:dyDescent="0.25">
      <c r="A92" s="343" t="s">
        <v>135</v>
      </c>
      <c r="B92" s="344"/>
      <c r="C92" s="344"/>
      <c r="D92" s="344"/>
      <c r="E92" s="344"/>
      <c r="F92" s="252"/>
      <c r="G92" s="252"/>
      <c r="H92" s="252"/>
      <c r="I92" s="252"/>
      <c r="J92" s="252"/>
      <c r="K92" s="252"/>
      <c r="L92" s="252"/>
      <c r="M92" s="252"/>
      <c r="N92" s="252"/>
      <c r="O92" s="252"/>
    </row>
    <row r="93" spans="1:15" s="148" customFormat="1" ht="35.1" customHeight="1" x14ac:dyDescent="0.2">
      <c r="A93" s="242">
        <f>+A89+1</f>
        <v>47</v>
      </c>
      <c r="B93" s="250" t="s">
        <v>50</v>
      </c>
      <c r="C93" s="242" t="s">
        <v>339</v>
      </c>
      <c r="D93" s="262" t="s">
        <v>158</v>
      </c>
      <c r="E93" s="243" t="s">
        <v>98</v>
      </c>
      <c r="F93" s="69">
        <v>155250</v>
      </c>
      <c r="G93" s="69">
        <v>4455.6750000000002</v>
      </c>
      <c r="H93" s="68">
        <f>+F93*3.04%</f>
        <v>4719.6000000000004</v>
      </c>
      <c r="I93" s="221">
        <v>0</v>
      </c>
      <c r="J93" s="69">
        <f>+G93+H93+I93</f>
        <v>9175.2750000000015</v>
      </c>
      <c r="K93" s="69">
        <f>+F93-J93</f>
        <v>146074.72500000001</v>
      </c>
      <c r="L93" s="220">
        <f>+IF(K93*12&lt;=416220.01,0,IF(K93*12&lt;=624329.01,(((K93*12-416220.01)*0.15)/12),IF((K93*12&lt;=867123.01),(31216+0.2*(K93*12-624329.01))/12,((79776+0.25*(K93*12-867123.01))/12))))</f>
        <v>25101.61854166667</v>
      </c>
      <c r="M93" s="239">
        <v>22959.73</v>
      </c>
      <c r="N93" s="220">
        <f>+M93+I93+H93+G93+L93</f>
        <v>57236.623541666675</v>
      </c>
      <c r="O93" s="84">
        <f>+F93-N93</f>
        <v>98013.376458333325</v>
      </c>
    </row>
    <row r="94" spans="1:15" s="148" customFormat="1" ht="35.1" customHeight="1" x14ac:dyDescent="0.2">
      <c r="A94" s="228" t="s">
        <v>100</v>
      </c>
      <c r="B94" s="229"/>
      <c r="C94" s="229"/>
      <c r="D94" s="229"/>
      <c r="E94" s="245"/>
      <c r="F94" s="230">
        <f t="shared" ref="F94:L94" si="24">SUM(F93:F93)</f>
        <v>155250</v>
      </c>
      <c r="G94" s="230">
        <f t="shared" si="24"/>
        <v>4455.6750000000002</v>
      </c>
      <c r="H94" s="230">
        <f t="shared" si="24"/>
        <v>4719.6000000000004</v>
      </c>
      <c r="I94" s="230">
        <f t="shared" si="24"/>
        <v>0</v>
      </c>
      <c r="J94" s="230">
        <f t="shared" si="24"/>
        <v>9175.2750000000015</v>
      </c>
      <c r="K94" s="230">
        <f t="shared" si="24"/>
        <v>146074.72500000001</v>
      </c>
      <c r="L94" s="230">
        <f t="shared" si="24"/>
        <v>25101.61854166667</v>
      </c>
      <c r="M94" s="230">
        <f>SUM(M93:M93)</f>
        <v>22959.73</v>
      </c>
      <c r="N94" s="230">
        <f>SUM(N93:N93)</f>
        <v>57236.623541666675</v>
      </c>
      <c r="O94" s="230">
        <f>SUM(O93:O93)</f>
        <v>98013.376458333325</v>
      </c>
    </row>
    <row r="95" spans="1:15" s="148" customFormat="1" ht="35.1" customHeight="1" thickBot="1" x14ac:dyDescent="0.25">
      <c r="A95" s="223"/>
      <c r="B95" s="223"/>
      <c r="C95" s="249"/>
      <c r="D95" s="223"/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</row>
    <row r="96" spans="1:15" s="258" customFormat="1" ht="35.1" customHeight="1" thickBot="1" x14ac:dyDescent="0.25">
      <c r="A96" s="343" t="s">
        <v>137</v>
      </c>
      <c r="B96" s="344"/>
      <c r="C96" s="344"/>
      <c r="D96" s="344"/>
      <c r="E96" s="344"/>
      <c r="F96" s="252"/>
      <c r="G96" s="252"/>
      <c r="H96" s="252"/>
      <c r="I96" s="252"/>
      <c r="J96" s="252"/>
      <c r="K96" s="252"/>
      <c r="L96" s="252"/>
      <c r="M96" s="252"/>
      <c r="N96" s="252"/>
      <c r="O96" s="252"/>
    </row>
    <row r="97" spans="1:15" s="224" customFormat="1" ht="35.1" customHeight="1" x14ac:dyDescent="0.2">
      <c r="A97" s="218">
        <f>+A93+1</f>
        <v>48</v>
      </c>
      <c r="B97" s="219" t="s">
        <v>218</v>
      </c>
      <c r="C97" s="218" t="s">
        <v>338</v>
      </c>
      <c r="D97" s="227" t="s">
        <v>589</v>
      </c>
      <c r="E97" s="219" t="s">
        <v>97</v>
      </c>
      <c r="F97" s="220">
        <v>100000</v>
      </c>
      <c r="G97" s="68">
        <f>F97*2.87%</f>
        <v>2870</v>
      </c>
      <c r="H97" s="221">
        <f>+F97*3.04%</f>
        <v>3040</v>
      </c>
      <c r="I97" s="221"/>
      <c r="J97" s="220">
        <f>+G97+H97+I97</f>
        <v>5910</v>
      </c>
      <c r="K97" s="220">
        <f>+F97-J97</f>
        <v>94090</v>
      </c>
      <c r="L97" s="220">
        <f t="shared" ref="L97:L101" si="25">+IF(K97*12&lt;=416220.01,0,IF(K97*12&lt;=624329.01,(((K97*12-416220.01)*0.15)/12),IF((K97*12&lt;=867123.01),(31216+0.2*(K97*12-624329.01))/12,((79776+0.25*(K97*12-867123.01))/12))))</f>
        <v>12105.437291666667</v>
      </c>
      <c r="M97" s="226">
        <v>8763.9500000000007</v>
      </c>
      <c r="N97" s="220">
        <f>+M97+I97+H97+G97+L97</f>
        <v>26779.387291666666</v>
      </c>
      <c r="O97" s="222">
        <f>+F97-N97</f>
        <v>73220.612708333327</v>
      </c>
    </row>
    <row r="98" spans="1:15" s="148" customFormat="1" ht="35.1" customHeight="1" x14ac:dyDescent="0.2">
      <c r="A98" s="218">
        <f>+A97+1</f>
        <v>49</v>
      </c>
      <c r="B98" s="219" t="s">
        <v>220</v>
      </c>
      <c r="C98" s="218" t="s">
        <v>339</v>
      </c>
      <c r="D98" s="227" t="s">
        <v>589</v>
      </c>
      <c r="E98" s="219" t="s">
        <v>97</v>
      </c>
      <c r="F98" s="220">
        <v>95000</v>
      </c>
      <c r="G98" s="221">
        <f>F98*2.87%</f>
        <v>2726.5</v>
      </c>
      <c r="H98" s="221">
        <f>+F98*3.04%</f>
        <v>2888</v>
      </c>
      <c r="I98" s="221"/>
      <c r="J98" s="220">
        <f>+G98+H98+I98</f>
        <v>5614.5</v>
      </c>
      <c r="K98" s="220">
        <f>+F98-J98</f>
        <v>89385.5</v>
      </c>
      <c r="L98" s="220">
        <f t="shared" si="25"/>
        <v>10929.312291666667</v>
      </c>
      <c r="M98" s="226">
        <v>225</v>
      </c>
      <c r="N98" s="220">
        <f>+M98+I98+H98+G98+L98</f>
        <v>16768.812291666669</v>
      </c>
      <c r="O98" s="222">
        <f>+F98-N98</f>
        <v>78231.187708333338</v>
      </c>
    </row>
    <row r="99" spans="1:15" ht="35.1" customHeight="1" x14ac:dyDescent="0.2">
      <c r="A99" s="218">
        <f>+A98+1</f>
        <v>50</v>
      </c>
      <c r="B99" s="219" t="s">
        <v>114</v>
      </c>
      <c r="C99" s="218" t="s">
        <v>339</v>
      </c>
      <c r="D99" s="227" t="s">
        <v>589</v>
      </c>
      <c r="E99" s="219" t="s">
        <v>97</v>
      </c>
      <c r="F99" s="220">
        <v>90000</v>
      </c>
      <c r="G99" s="221">
        <f>F99*2.87%</f>
        <v>2583</v>
      </c>
      <c r="H99" s="221">
        <f>+F99*3.04%</f>
        <v>2736</v>
      </c>
      <c r="I99" s="221"/>
      <c r="J99" s="220">
        <f>+G99+H99+I99</f>
        <v>5319</v>
      </c>
      <c r="K99" s="220">
        <f>+F99-J99</f>
        <v>84681</v>
      </c>
      <c r="L99" s="220">
        <f t="shared" si="25"/>
        <v>9753.1872916666671</v>
      </c>
      <c r="M99" s="239">
        <v>225</v>
      </c>
      <c r="N99" s="220">
        <f>+M99+I99+H99+G99+L99</f>
        <v>15297.187291666667</v>
      </c>
      <c r="O99" s="222">
        <f>+F99-N99</f>
        <v>74702.812708333338</v>
      </c>
    </row>
    <row r="100" spans="1:15" s="148" customFormat="1" ht="35.1" customHeight="1" x14ac:dyDescent="0.2">
      <c r="A100" s="218">
        <f>+A99+1</f>
        <v>51</v>
      </c>
      <c r="B100" s="72" t="s">
        <v>35</v>
      </c>
      <c r="C100" s="73" t="s">
        <v>339</v>
      </c>
      <c r="D100" s="72" t="s">
        <v>589</v>
      </c>
      <c r="E100" s="72" t="s">
        <v>166</v>
      </c>
      <c r="F100" s="221">
        <v>90000</v>
      </c>
      <c r="G100" s="68">
        <f>+F100*2.87%</f>
        <v>2583</v>
      </c>
      <c r="H100" s="68">
        <f>+F100*3.04%</f>
        <v>2736</v>
      </c>
      <c r="I100" s="68"/>
      <c r="J100" s="69">
        <f>+G100+H100+I100</f>
        <v>5319</v>
      </c>
      <c r="K100" s="69">
        <f>+F100-J100</f>
        <v>84681</v>
      </c>
      <c r="L100" s="220">
        <f t="shared" si="25"/>
        <v>9753.1872916666671</v>
      </c>
      <c r="M100" s="226">
        <v>225</v>
      </c>
      <c r="N100" s="220">
        <f>+M100+I100+H100+G100+L100</f>
        <v>15297.187291666667</v>
      </c>
      <c r="O100" s="239">
        <f>+F100-N100</f>
        <v>74702.812708333338</v>
      </c>
    </row>
    <row r="101" spans="1:15" s="148" customFormat="1" ht="35.1" customHeight="1" x14ac:dyDescent="0.2">
      <c r="A101" s="218">
        <f>+A100+1</f>
        <v>52</v>
      </c>
      <c r="B101" s="72" t="s">
        <v>604</v>
      </c>
      <c r="C101" s="308" t="s">
        <v>338</v>
      </c>
      <c r="D101" s="72" t="s">
        <v>589</v>
      </c>
      <c r="E101" s="269" t="s">
        <v>98</v>
      </c>
      <c r="F101" s="221">
        <v>80000</v>
      </c>
      <c r="G101" s="68">
        <f>+F101*2.87%</f>
        <v>2296</v>
      </c>
      <c r="H101" s="68">
        <f>+F101*3.04%</f>
        <v>2432</v>
      </c>
      <c r="I101" s="68"/>
      <c r="J101" s="69">
        <f>+G101+H101+I101</f>
        <v>4728</v>
      </c>
      <c r="K101" s="69">
        <f>+F101-J101</f>
        <v>75272</v>
      </c>
      <c r="L101" s="220">
        <f t="shared" si="25"/>
        <v>7400.9372916666662</v>
      </c>
      <c r="M101" s="226">
        <v>14110.79</v>
      </c>
      <c r="N101" s="220">
        <f>+M101+I101+H101+G101+L101</f>
        <v>26239.727291666666</v>
      </c>
      <c r="O101" s="239">
        <f>+F101-N101</f>
        <v>53760.27270833333</v>
      </c>
    </row>
    <row r="102" spans="1:15" s="224" customFormat="1" ht="35.1" customHeight="1" x14ac:dyDescent="0.2">
      <c r="A102" s="73"/>
      <c r="B102" s="263"/>
      <c r="C102" s="264"/>
      <c r="D102" s="228" t="s">
        <v>100</v>
      </c>
      <c r="E102" s="245"/>
      <c r="F102" s="230">
        <f>SUM(F97:F101)</f>
        <v>455000</v>
      </c>
      <c r="G102" s="230">
        <f t="shared" ref="G102:L102" si="26">SUM(G97:G100)</f>
        <v>10762.5</v>
      </c>
      <c r="H102" s="230">
        <f>SUM(H97:H101)</f>
        <v>13832</v>
      </c>
      <c r="I102" s="230">
        <f t="shared" si="26"/>
        <v>0</v>
      </c>
      <c r="J102" s="230">
        <f t="shared" si="26"/>
        <v>22162.5</v>
      </c>
      <c r="K102" s="230">
        <f t="shared" si="26"/>
        <v>352837.5</v>
      </c>
      <c r="L102" s="230">
        <f t="shared" si="26"/>
        <v>42541.124166666668</v>
      </c>
      <c r="M102" s="230">
        <f>SUM(M97:M101)</f>
        <v>23549.74</v>
      </c>
      <c r="N102" s="230">
        <f>SUM(N97:N101)</f>
        <v>100382.30145833334</v>
      </c>
      <c r="O102" s="230">
        <f>SUM(O97:O101)</f>
        <v>354617.69854166667</v>
      </c>
    </row>
    <row r="103" spans="1:15" s="224" customFormat="1" ht="35.1" customHeight="1" thickBot="1" x14ac:dyDescent="0.25">
      <c r="A103" s="208"/>
      <c r="B103" s="147"/>
      <c r="C103" s="208"/>
      <c r="D103" s="233"/>
      <c r="E103" s="147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</row>
    <row r="104" spans="1:15" s="148" customFormat="1" ht="35.1" customHeight="1" thickBot="1" x14ac:dyDescent="0.25">
      <c r="A104" s="343" t="s">
        <v>138</v>
      </c>
      <c r="B104" s="344"/>
      <c r="C104" s="344"/>
      <c r="D104" s="344"/>
      <c r="E104" s="344"/>
      <c r="F104" s="252"/>
      <c r="G104" s="252"/>
      <c r="H104" s="252"/>
      <c r="I104" s="252"/>
      <c r="J104" s="252"/>
      <c r="K104" s="252"/>
      <c r="L104" s="252"/>
      <c r="M104" s="252"/>
      <c r="N104" s="252"/>
      <c r="O104" s="252"/>
    </row>
    <row r="105" spans="1:15" s="224" customFormat="1" ht="35.1" customHeight="1" x14ac:dyDescent="0.2">
      <c r="A105" s="240">
        <f>+A101+1</f>
        <v>53</v>
      </c>
      <c r="B105" s="72" t="s">
        <v>468</v>
      </c>
      <c r="C105" s="73" t="s">
        <v>338</v>
      </c>
      <c r="D105" s="238" t="s">
        <v>469</v>
      </c>
      <c r="E105" s="243" t="s">
        <v>98</v>
      </c>
      <c r="F105" s="68">
        <v>190000</v>
      </c>
      <c r="G105" s="68">
        <f>F105*2.87%</f>
        <v>5453</v>
      </c>
      <c r="H105" s="68">
        <v>5776</v>
      </c>
      <c r="I105" s="68"/>
      <c r="J105" s="69">
        <f>+G105+H105+I105</f>
        <v>11229</v>
      </c>
      <c r="K105" s="69">
        <f>+F105-J105</f>
        <v>178771</v>
      </c>
      <c r="L105" s="69">
        <f t="shared" ref="L105:L106" si="27">+IF(K105*12&lt;=416220.01,0,IF(K105*12&lt;=624329.01,(((K105*12-416220.01)*0.15)/12),IF((K105*12&lt;=867123.01),(31216+0.2*(K105*12-624329.01))/12,((79776+0.25*(K105*12-867123.01))/12))))</f>
        <v>33275.687291666669</v>
      </c>
      <c r="M105" s="239">
        <v>25</v>
      </c>
      <c r="N105" s="220">
        <f>+M105+I105+H105+G105+L105</f>
        <v>44529.687291666669</v>
      </c>
      <c r="O105" s="84">
        <f>+F105-N105</f>
        <v>145470.31270833334</v>
      </c>
    </row>
    <row r="106" spans="1:15" s="224" customFormat="1" ht="35.1" customHeight="1" x14ac:dyDescent="0.2">
      <c r="A106" s="240">
        <f>+A105+1</f>
        <v>54</v>
      </c>
      <c r="B106" s="72" t="s">
        <v>58</v>
      </c>
      <c r="C106" s="73" t="s">
        <v>338</v>
      </c>
      <c r="D106" s="238" t="s">
        <v>431</v>
      </c>
      <c r="E106" s="243" t="s">
        <v>98</v>
      </c>
      <c r="F106" s="68">
        <v>115000</v>
      </c>
      <c r="G106" s="68">
        <f>F106*2.87%</f>
        <v>3300.5</v>
      </c>
      <c r="H106" s="68">
        <f>+F106*3.04%</f>
        <v>3496</v>
      </c>
      <c r="I106" s="68">
        <v>1919.78</v>
      </c>
      <c r="J106" s="69">
        <f>+G106+H106+I106</f>
        <v>8716.2800000000007</v>
      </c>
      <c r="K106" s="69">
        <f>+F106-J106</f>
        <v>106283.72</v>
      </c>
      <c r="L106" s="69">
        <f t="shared" si="27"/>
        <v>15153.867291666669</v>
      </c>
      <c r="M106" s="239">
        <v>12663.37</v>
      </c>
      <c r="N106" s="220">
        <f>+M106+I106+H106+G106+L106</f>
        <v>36533.517291666671</v>
      </c>
      <c r="O106" s="84">
        <f>+F106-N106</f>
        <v>78466.482708333322</v>
      </c>
    </row>
    <row r="107" spans="1:15" s="98" customFormat="1" ht="35.1" customHeight="1" x14ac:dyDescent="0.2">
      <c r="A107" s="228" t="s">
        <v>100</v>
      </c>
      <c r="B107" s="229"/>
      <c r="C107" s="229"/>
      <c r="D107" s="229"/>
      <c r="E107" s="245"/>
      <c r="F107" s="230">
        <f t="shared" ref="F107:L107" si="28">SUM(F105:F106)</f>
        <v>305000</v>
      </c>
      <c r="G107" s="230">
        <f t="shared" si="28"/>
        <v>8753.5</v>
      </c>
      <c r="H107" s="230">
        <f t="shared" si="28"/>
        <v>9272</v>
      </c>
      <c r="I107" s="230">
        <f t="shared" si="28"/>
        <v>1919.78</v>
      </c>
      <c r="J107" s="230">
        <f t="shared" si="28"/>
        <v>19945.28</v>
      </c>
      <c r="K107" s="230">
        <f t="shared" si="28"/>
        <v>285054.71999999997</v>
      </c>
      <c r="L107" s="230">
        <f t="shared" si="28"/>
        <v>48429.554583333338</v>
      </c>
      <c r="M107" s="230">
        <f>SUM(M105:M106)</f>
        <v>12688.37</v>
      </c>
      <c r="N107" s="230">
        <f>SUM(N105:N106)</f>
        <v>81063.20458333334</v>
      </c>
      <c r="O107" s="230">
        <f>SUM(O105:O106)</f>
        <v>223936.79541666666</v>
      </c>
    </row>
    <row r="108" spans="1:15" s="148" customFormat="1" ht="42.75" customHeight="1" thickBot="1" x14ac:dyDescent="0.25">
      <c r="A108" s="232"/>
      <c r="B108" s="266"/>
      <c r="C108" s="267"/>
      <c r="D108" s="266"/>
      <c r="E108" s="266"/>
      <c r="F108" s="268"/>
    </row>
    <row r="109" spans="1:15" s="248" customFormat="1" ht="35.1" customHeight="1" thickBot="1" x14ac:dyDescent="0.25">
      <c r="A109" s="343" t="s">
        <v>139</v>
      </c>
      <c r="B109" s="344"/>
      <c r="C109" s="344"/>
      <c r="D109" s="344"/>
      <c r="E109" s="344"/>
      <c r="F109" s="252"/>
      <c r="G109" s="252"/>
      <c r="H109" s="252"/>
      <c r="I109" s="252"/>
      <c r="J109" s="252"/>
      <c r="K109" s="252"/>
      <c r="L109" s="252"/>
      <c r="M109" s="252"/>
      <c r="N109" s="252"/>
      <c r="O109" s="252"/>
    </row>
    <row r="110" spans="1:15" s="224" customFormat="1" ht="35.1" customHeight="1" x14ac:dyDescent="0.2">
      <c r="A110" s="240">
        <f>+A106+1</f>
        <v>55</v>
      </c>
      <c r="B110" s="72" t="s">
        <v>222</v>
      </c>
      <c r="C110" s="73" t="s">
        <v>339</v>
      </c>
      <c r="D110" s="238" t="s">
        <v>589</v>
      </c>
      <c r="E110" s="72" t="s">
        <v>98</v>
      </c>
      <c r="F110" s="221">
        <v>95000</v>
      </c>
      <c r="G110" s="221">
        <f>F110*2.87%</f>
        <v>2726.5</v>
      </c>
      <c r="H110" s="221">
        <f>+F110*3.04%</f>
        <v>2888</v>
      </c>
      <c r="I110" s="221"/>
      <c r="J110" s="220">
        <f>+G110+H110+I110</f>
        <v>5614.5</v>
      </c>
      <c r="K110" s="220">
        <f>+F110-J110</f>
        <v>89385.5</v>
      </c>
      <c r="L110" s="69">
        <f t="shared" ref="L110:L113" si="29">+IF(K110*12&lt;=416220.01,0,IF(K110*12&lt;=624329.01,(((K110*12-416220.01)*0.15)/12),IF((K110*12&lt;=867123.01),(31216+0.2*(K110*12-624329.01))/12,((79776+0.25*(K110*12-867123.01))/12))))</f>
        <v>10929.312291666667</v>
      </c>
      <c r="M110" s="220">
        <v>23740.03</v>
      </c>
      <c r="N110" s="220">
        <f>+M110+I110+H110+G110+L110</f>
        <v>40283.842291666668</v>
      </c>
      <c r="O110" s="222">
        <f>+F110-N110</f>
        <v>54716.157708333332</v>
      </c>
    </row>
    <row r="111" spans="1:15" s="224" customFormat="1" ht="35.1" customHeight="1" x14ac:dyDescent="0.2">
      <c r="A111" s="240">
        <f>+A110+1</f>
        <v>56</v>
      </c>
      <c r="B111" s="72" t="s">
        <v>49</v>
      </c>
      <c r="C111" s="73" t="s">
        <v>339</v>
      </c>
      <c r="D111" s="238" t="s">
        <v>589</v>
      </c>
      <c r="E111" s="72" t="s">
        <v>97</v>
      </c>
      <c r="F111" s="221">
        <v>85000</v>
      </c>
      <c r="G111" s="69">
        <f>F111*2.87%</f>
        <v>2439.5</v>
      </c>
      <c r="H111" s="69">
        <f>+F111*3.04%</f>
        <v>2584</v>
      </c>
      <c r="I111" s="69"/>
      <c r="J111" s="69">
        <f>+G111+H111+I111</f>
        <v>5023.5</v>
      </c>
      <c r="K111" s="69">
        <f>+F111-J111</f>
        <v>79976.5</v>
      </c>
      <c r="L111" s="69">
        <f t="shared" si="29"/>
        <v>8577.0622916666671</v>
      </c>
      <c r="M111" s="69">
        <v>13396.21</v>
      </c>
      <c r="N111" s="69">
        <f>+M111+I111+H111+G111+L111</f>
        <v>26996.772291666668</v>
      </c>
      <c r="O111" s="222">
        <f>+F111-N111</f>
        <v>58003.227708333332</v>
      </c>
    </row>
    <row r="112" spans="1:15" s="224" customFormat="1" ht="35.1" customHeight="1" x14ac:dyDescent="0.2">
      <c r="A112" s="73">
        <f>+A111+1</f>
        <v>57</v>
      </c>
      <c r="B112" s="72" t="s">
        <v>229</v>
      </c>
      <c r="C112" s="73" t="s">
        <v>338</v>
      </c>
      <c r="D112" s="238" t="s">
        <v>589</v>
      </c>
      <c r="E112" s="72" t="s">
        <v>97</v>
      </c>
      <c r="F112" s="221">
        <v>80000</v>
      </c>
      <c r="G112" s="221">
        <f>F112*2.87%</f>
        <v>2296</v>
      </c>
      <c r="H112" s="221">
        <f>+F112*3.04%</f>
        <v>2432</v>
      </c>
      <c r="I112" s="221"/>
      <c r="J112" s="220">
        <f>+G112+H112+I112</f>
        <v>4728</v>
      </c>
      <c r="K112" s="220">
        <f>+F112-J112</f>
        <v>75272</v>
      </c>
      <c r="L112" s="69">
        <f t="shared" si="29"/>
        <v>7400.9372916666662</v>
      </c>
      <c r="M112" s="226">
        <v>25</v>
      </c>
      <c r="N112" s="220">
        <f>+M112+I112+H112+G112+L112</f>
        <v>12153.937291666665</v>
      </c>
      <c r="O112" s="222">
        <f>+F112-N112</f>
        <v>67846.062708333338</v>
      </c>
    </row>
    <row r="113" spans="1:15" s="224" customFormat="1" ht="35.1" customHeight="1" x14ac:dyDescent="0.2">
      <c r="A113" s="73">
        <f>+A112+1</f>
        <v>58</v>
      </c>
      <c r="B113" s="72" t="s">
        <v>39</v>
      </c>
      <c r="C113" s="73" t="s">
        <v>595</v>
      </c>
      <c r="D113" s="238" t="s">
        <v>589</v>
      </c>
      <c r="E113" s="72" t="s">
        <v>97</v>
      </c>
      <c r="F113" s="221">
        <v>95000</v>
      </c>
      <c r="G113" s="221">
        <f>F113*2.87%</f>
        <v>2726.5</v>
      </c>
      <c r="H113" s="221">
        <f>+F113*3.04%</f>
        <v>2888</v>
      </c>
      <c r="I113" s="221"/>
      <c r="J113" s="220">
        <f>+G113+H113+I113</f>
        <v>5614.5</v>
      </c>
      <c r="K113" s="220">
        <f>+F113-J113</f>
        <v>89385.5</v>
      </c>
      <c r="L113" s="69">
        <f t="shared" si="29"/>
        <v>10929.312291666667</v>
      </c>
      <c r="M113" s="226">
        <v>4821.12</v>
      </c>
      <c r="N113" s="220">
        <f>+M113+I113+H113+G113+L113</f>
        <v>21364.932291666664</v>
      </c>
      <c r="O113" s="222">
        <f>+F113-N113</f>
        <v>73635.067708333343</v>
      </c>
    </row>
    <row r="114" spans="1:15" s="224" customFormat="1" ht="35.1" customHeight="1" thickBot="1" x14ac:dyDescent="0.25">
      <c r="A114" s="228" t="s">
        <v>100</v>
      </c>
      <c r="B114" s="229"/>
      <c r="C114" s="229"/>
      <c r="D114" s="229"/>
      <c r="E114" s="245"/>
      <c r="F114" s="230">
        <f>SUM(F110:F113)</f>
        <v>355000</v>
      </c>
      <c r="G114" s="230">
        <f t="shared" ref="G114:N114" si="30">SUM(G110:G113)</f>
        <v>10188.5</v>
      </c>
      <c r="H114" s="230">
        <f t="shared" si="30"/>
        <v>10792</v>
      </c>
      <c r="I114" s="230">
        <f t="shared" si="30"/>
        <v>0</v>
      </c>
      <c r="J114" s="230">
        <f t="shared" si="30"/>
        <v>20980.5</v>
      </c>
      <c r="K114" s="230">
        <f t="shared" si="30"/>
        <v>334019.5</v>
      </c>
      <c r="L114" s="230">
        <f t="shared" si="30"/>
        <v>37836.624166666668</v>
      </c>
      <c r="M114" s="230">
        <f>SUM(M110:M113)</f>
        <v>41982.36</v>
      </c>
      <c r="N114" s="230">
        <f t="shared" si="30"/>
        <v>100799.48416666666</v>
      </c>
      <c r="O114" s="230">
        <f>SUM(O110:O113)</f>
        <v>254200.51583333334</v>
      </c>
    </row>
    <row r="115" spans="1:15" s="246" customFormat="1" ht="35.1" customHeight="1" thickBot="1" x14ac:dyDescent="0.25">
      <c r="A115" s="343" t="s">
        <v>140</v>
      </c>
      <c r="B115" s="344"/>
      <c r="C115" s="344"/>
      <c r="D115" s="344"/>
      <c r="E115" s="344"/>
      <c r="F115" s="252"/>
      <c r="G115" s="252"/>
      <c r="H115" s="252"/>
      <c r="I115" s="252"/>
      <c r="J115" s="252"/>
      <c r="K115" s="252"/>
      <c r="L115" s="252"/>
      <c r="M115" s="252"/>
      <c r="N115" s="252"/>
      <c r="O115" s="252"/>
    </row>
    <row r="116" spans="1:15" s="148" customFormat="1" ht="35.1" customHeight="1" x14ac:dyDescent="0.2">
      <c r="A116" s="73">
        <f>+A113+1</f>
        <v>59</v>
      </c>
      <c r="B116" s="72" t="s">
        <v>394</v>
      </c>
      <c r="C116" s="73" t="s">
        <v>338</v>
      </c>
      <c r="D116" s="238" t="s">
        <v>589</v>
      </c>
      <c r="E116" s="72" t="s">
        <v>98</v>
      </c>
      <c r="F116" s="221">
        <v>95000</v>
      </c>
      <c r="G116" s="221">
        <f>F116*2.87%</f>
        <v>2726.5</v>
      </c>
      <c r="H116" s="68">
        <f>+F116*3.04%</f>
        <v>2888</v>
      </c>
      <c r="I116" s="68"/>
      <c r="J116" s="69">
        <f>+G116+H116+I116</f>
        <v>5614.5</v>
      </c>
      <c r="K116" s="69">
        <f>+F116-J116</f>
        <v>89385.5</v>
      </c>
      <c r="L116" s="69">
        <f t="shared" ref="L116:L119" si="31">+IF(K116*12&lt;=416220.01,0,IF(K116*12&lt;=624329.01,(((K116*12-416220.01)*0.15)/12),IF((K116*12&lt;=867123.01),(31216+0.2*(K116*12-624329.01))/12,((79776+0.25*(K116*12-867123.01))/12))))</f>
        <v>10929.312291666667</v>
      </c>
      <c r="M116" s="220">
        <v>10290.290000000001</v>
      </c>
      <c r="N116" s="220">
        <f>+M116+I116+H116+G116+L116</f>
        <v>26834.10229166667</v>
      </c>
      <c r="O116" s="84">
        <f>+F116-N116</f>
        <v>68165.89770833333</v>
      </c>
    </row>
    <row r="117" spans="1:15" s="148" customFormat="1" ht="35.1" customHeight="1" x14ac:dyDescent="0.2">
      <c r="A117" s="73">
        <f>+A116+1</f>
        <v>60</v>
      </c>
      <c r="B117" s="72" t="s">
        <v>483</v>
      </c>
      <c r="C117" s="73" t="s">
        <v>339</v>
      </c>
      <c r="D117" s="238" t="s">
        <v>589</v>
      </c>
      <c r="E117" s="72" t="s">
        <v>98</v>
      </c>
      <c r="F117" s="221">
        <v>95000</v>
      </c>
      <c r="G117" s="221">
        <f>F117*2.87%</f>
        <v>2726.5</v>
      </c>
      <c r="H117" s="68">
        <f>+F117*3.04%</f>
        <v>2888</v>
      </c>
      <c r="I117" s="68"/>
      <c r="J117" s="69">
        <f>+G117+H117+I117</f>
        <v>5614.5</v>
      </c>
      <c r="K117" s="69">
        <f>+F117-J117</f>
        <v>89385.5</v>
      </c>
      <c r="L117" s="69">
        <f t="shared" si="31"/>
        <v>10929.312291666667</v>
      </c>
      <c r="M117" s="226">
        <v>6177.9</v>
      </c>
      <c r="N117" s="220">
        <f>+M117+I117+H117+G117+L117</f>
        <v>22721.712291666667</v>
      </c>
      <c r="O117" s="84">
        <f>+F117-N117</f>
        <v>72278.28770833333</v>
      </c>
    </row>
    <row r="118" spans="1:15" s="148" customFormat="1" ht="35.1" customHeight="1" x14ac:dyDescent="0.2">
      <c r="A118" s="73">
        <f>+A117+1</f>
        <v>61</v>
      </c>
      <c r="B118" s="72" t="s">
        <v>233</v>
      </c>
      <c r="C118" s="73" t="s">
        <v>339</v>
      </c>
      <c r="D118" s="238" t="s">
        <v>589</v>
      </c>
      <c r="E118" s="72" t="s">
        <v>98</v>
      </c>
      <c r="F118" s="221">
        <v>95000</v>
      </c>
      <c r="G118" s="221">
        <f>F118*2.87%</f>
        <v>2726.5</v>
      </c>
      <c r="H118" s="68">
        <f>+F118*3.04%</f>
        <v>2888</v>
      </c>
      <c r="I118" s="68"/>
      <c r="J118" s="69">
        <f>+G118+H118+I118</f>
        <v>5614.5</v>
      </c>
      <c r="K118" s="69">
        <f>+F118-J118</f>
        <v>89385.5</v>
      </c>
      <c r="L118" s="69">
        <f t="shared" si="31"/>
        <v>10929.312291666667</v>
      </c>
      <c r="M118" s="226">
        <v>1290.29</v>
      </c>
      <c r="N118" s="220">
        <f>+M118+I118+H118+G118+L118</f>
        <v>17834.102291666666</v>
      </c>
      <c r="O118" s="84">
        <f>+F118-N118</f>
        <v>77165.89770833333</v>
      </c>
    </row>
    <row r="119" spans="1:15" s="246" customFormat="1" ht="35.1" customHeight="1" x14ac:dyDescent="0.2">
      <c r="A119" s="73">
        <f>+A118+1</f>
        <v>62</v>
      </c>
      <c r="B119" s="72" t="s">
        <v>164</v>
      </c>
      <c r="C119" s="73" t="s">
        <v>338</v>
      </c>
      <c r="D119" s="238" t="s">
        <v>589</v>
      </c>
      <c r="E119" s="72" t="s">
        <v>98</v>
      </c>
      <c r="F119" s="221">
        <v>80000</v>
      </c>
      <c r="G119" s="68">
        <v>2296</v>
      </c>
      <c r="H119" s="68">
        <v>2432</v>
      </c>
      <c r="I119" s="68">
        <v>1919.78</v>
      </c>
      <c r="J119" s="69">
        <f>+G119+H119+I119</f>
        <v>6647.78</v>
      </c>
      <c r="K119" s="69">
        <f>+F119-J119</f>
        <v>73352.22</v>
      </c>
      <c r="L119" s="69">
        <f t="shared" si="31"/>
        <v>6920.9922916666665</v>
      </c>
      <c r="M119" s="239">
        <v>38765.760000000002</v>
      </c>
      <c r="N119" s="220">
        <f>+M119+I119+H119+G119+L119</f>
        <v>52334.53229166667</v>
      </c>
      <c r="O119" s="84">
        <f>+F119-N119</f>
        <v>27665.46770833333</v>
      </c>
    </row>
    <row r="120" spans="1:15" s="148" customFormat="1" ht="35.1" customHeight="1" x14ac:dyDescent="0.2">
      <c r="A120" s="228" t="s">
        <v>100</v>
      </c>
      <c r="B120" s="229"/>
      <c r="C120" s="229"/>
      <c r="D120" s="229"/>
      <c r="E120" s="245"/>
      <c r="F120" s="230">
        <f t="shared" ref="F120:L120" si="32">SUM(F116:F119)</f>
        <v>365000</v>
      </c>
      <c r="G120" s="230">
        <f t="shared" si="32"/>
        <v>10475.5</v>
      </c>
      <c r="H120" s="230">
        <f t="shared" si="32"/>
        <v>11096</v>
      </c>
      <c r="I120" s="230">
        <f t="shared" si="32"/>
        <v>1919.78</v>
      </c>
      <c r="J120" s="230">
        <f t="shared" si="32"/>
        <v>23491.279999999999</v>
      </c>
      <c r="K120" s="230">
        <f t="shared" si="32"/>
        <v>341508.72</v>
      </c>
      <c r="L120" s="230">
        <f t="shared" si="32"/>
        <v>39708.929166666669</v>
      </c>
      <c r="M120" s="230">
        <f>SUM(M116:M119)</f>
        <v>56524.240000000005</v>
      </c>
      <c r="N120" s="230">
        <f>SUM(N116:N119)</f>
        <v>119724.44916666669</v>
      </c>
      <c r="O120" s="230">
        <f>SUM(O116:O119)</f>
        <v>245275.55083333334</v>
      </c>
    </row>
    <row r="121" spans="1:15" s="148" customFormat="1" ht="35.1" customHeight="1" thickBot="1" x14ac:dyDescent="0.25">
      <c r="A121" s="208"/>
      <c r="B121" s="147"/>
      <c r="C121" s="208"/>
      <c r="D121" s="147"/>
      <c r="E121" s="147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5" s="148" customFormat="1" ht="35.1" customHeight="1" thickBot="1" x14ac:dyDescent="0.25">
      <c r="A122" s="343" t="s">
        <v>141</v>
      </c>
      <c r="B122" s="344"/>
      <c r="C122" s="344"/>
      <c r="D122" s="344"/>
      <c r="E122" s="344"/>
      <c r="F122" s="252"/>
      <c r="G122" s="252"/>
      <c r="H122" s="252"/>
      <c r="I122" s="252"/>
      <c r="J122" s="252"/>
      <c r="K122" s="252"/>
      <c r="L122" s="252"/>
      <c r="M122" s="252"/>
      <c r="N122" s="252"/>
      <c r="O122" s="252"/>
    </row>
    <row r="123" spans="1:15" s="148" customFormat="1" ht="35.1" customHeight="1" x14ac:dyDescent="0.2">
      <c r="A123" s="73">
        <f>+A119+1</f>
        <v>63</v>
      </c>
      <c r="B123" s="243" t="s">
        <v>4</v>
      </c>
      <c r="C123" s="240" t="s">
        <v>339</v>
      </c>
      <c r="D123" s="256" t="s">
        <v>589</v>
      </c>
      <c r="E123" s="243" t="s">
        <v>98</v>
      </c>
      <c r="F123" s="68">
        <v>95000</v>
      </c>
      <c r="G123" s="68">
        <f>F123*2.87%</f>
        <v>2726.5</v>
      </c>
      <c r="H123" s="68">
        <f>+F123*3.04%</f>
        <v>2888</v>
      </c>
      <c r="I123" s="221"/>
      <c r="J123" s="220">
        <f>+G123+H123+I123</f>
        <v>5614.5</v>
      </c>
      <c r="K123" s="220">
        <f>+F123-J123</f>
        <v>89385.5</v>
      </c>
      <c r="L123" s="220">
        <f t="shared" ref="L123:L126" si="33">+IF(K123*12&lt;=416220.01,0,IF(K123*12&lt;=624329.01,(((K123*12-416220.01)*0.15)/12),IF((K123*12&lt;=867123.01),(31216+0.2*(K123*12-624329.01))/12,((79776+0.25*(K123*12-867123.01))/12))))</f>
        <v>10929.312291666667</v>
      </c>
      <c r="M123" s="222">
        <v>21095.19</v>
      </c>
      <c r="N123" s="220">
        <f>+M123+I123+H123+G123+L123</f>
        <v>37639.002291666664</v>
      </c>
      <c r="O123" s="222">
        <f>+F123-N123</f>
        <v>57360.997708333336</v>
      </c>
    </row>
    <row r="124" spans="1:15" s="148" customFormat="1" ht="35.1" customHeight="1" x14ac:dyDescent="0.2">
      <c r="A124" s="73">
        <f>+A123+1</f>
        <v>64</v>
      </c>
      <c r="B124" s="243" t="s">
        <v>228</v>
      </c>
      <c r="C124" s="240" t="s">
        <v>339</v>
      </c>
      <c r="D124" s="256" t="s">
        <v>589</v>
      </c>
      <c r="E124" s="243" t="s">
        <v>98</v>
      </c>
      <c r="F124" s="68">
        <v>95000</v>
      </c>
      <c r="G124" s="68">
        <f>F124*2.87%</f>
        <v>2726.5</v>
      </c>
      <c r="H124" s="68">
        <f>+F124*3.04%</f>
        <v>2888</v>
      </c>
      <c r="I124" s="221">
        <v>1919.78</v>
      </c>
      <c r="J124" s="220">
        <f>+G124+H124+I124</f>
        <v>7534.28</v>
      </c>
      <c r="K124" s="220">
        <f>+F124-J124</f>
        <v>87465.72</v>
      </c>
      <c r="L124" s="220">
        <f t="shared" si="33"/>
        <v>10449.367291666669</v>
      </c>
      <c r="M124" s="222">
        <v>225</v>
      </c>
      <c r="N124" s="220">
        <f>+M124+I124+H124+G124+L124</f>
        <v>18208.647291666668</v>
      </c>
      <c r="O124" s="222">
        <f>+F124-N124</f>
        <v>76791.352708333332</v>
      </c>
    </row>
    <row r="125" spans="1:15" s="248" customFormat="1" ht="35.1" customHeight="1" x14ac:dyDescent="0.2">
      <c r="A125" s="73">
        <f>+A124+1</f>
        <v>65</v>
      </c>
      <c r="B125" s="72" t="s">
        <v>80</v>
      </c>
      <c r="C125" s="73" t="s">
        <v>339</v>
      </c>
      <c r="D125" s="238" t="s">
        <v>589</v>
      </c>
      <c r="E125" s="72" t="s">
        <v>97</v>
      </c>
      <c r="F125" s="221">
        <v>90000</v>
      </c>
      <c r="G125" s="221">
        <f>F125*2.87%</f>
        <v>2583</v>
      </c>
      <c r="H125" s="221">
        <f>+F125*3.04%</f>
        <v>2736</v>
      </c>
      <c r="I125" s="221"/>
      <c r="J125" s="220">
        <f>+G125+H125+I125</f>
        <v>5319</v>
      </c>
      <c r="K125" s="220">
        <f>+F125-J125</f>
        <v>84681</v>
      </c>
      <c r="L125" s="220">
        <f t="shared" si="33"/>
        <v>9753.1872916666671</v>
      </c>
      <c r="M125" s="226">
        <v>265</v>
      </c>
      <c r="N125" s="220">
        <f>+M125+I125+H125+G125+L125</f>
        <v>15337.187291666667</v>
      </c>
      <c r="O125" s="222">
        <f>+F125-N125</f>
        <v>74662.812708333338</v>
      </c>
    </row>
    <row r="126" spans="1:15" s="148" customFormat="1" ht="35.1" customHeight="1" x14ac:dyDescent="0.2">
      <c r="A126" s="73">
        <f>+A125+1</f>
        <v>66</v>
      </c>
      <c r="B126" s="72" t="s">
        <v>226</v>
      </c>
      <c r="C126" s="73" t="s">
        <v>338</v>
      </c>
      <c r="D126" s="238" t="s">
        <v>589</v>
      </c>
      <c r="E126" s="72" t="s">
        <v>97</v>
      </c>
      <c r="F126" s="221">
        <v>90000</v>
      </c>
      <c r="G126" s="221">
        <f>F126*2.87%</f>
        <v>2583</v>
      </c>
      <c r="H126" s="221">
        <f>+F126*3.04%</f>
        <v>2736</v>
      </c>
      <c r="I126" s="221">
        <f>1919.78*2</f>
        <v>3839.56</v>
      </c>
      <c r="J126" s="220">
        <f>+G126+H126+I126</f>
        <v>9158.56</v>
      </c>
      <c r="K126" s="220">
        <f>+F126-J126</f>
        <v>80841.440000000002</v>
      </c>
      <c r="L126" s="220">
        <f t="shared" si="33"/>
        <v>8793.2972916666677</v>
      </c>
      <c r="M126" s="226">
        <v>225</v>
      </c>
      <c r="N126" s="220">
        <f>+M126+I126+H126+G126+L126</f>
        <v>18176.857291666667</v>
      </c>
      <c r="O126" s="222">
        <f>+F126-N126</f>
        <v>71823.142708333326</v>
      </c>
    </row>
    <row r="127" spans="1:15" s="224" customFormat="1" ht="35.1" customHeight="1" x14ac:dyDescent="0.2">
      <c r="A127" s="228" t="s">
        <v>100</v>
      </c>
      <c r="B127" s="229"/>
      <c r="C127" s="229"/>
      <c r="D127" s="229"/>
      <c r="E127" s="245"/>
      <c r="F127" s="230">
        <f>SUM(F123:F126)</f>
        <v>370000</v>
      </c>
      <c r="G127" s="230">
        <f t="shared" ref="G127:O127" si="34">SUM(G123:G126)</f>
        <v>10619</v>
      </c>
      <c r="H127" s="230">
        <f t="shared" si="34"/>
        <v>11248</v>
      </c>
      <c r="I127" s="230">
        <f t="shared" si="34"/>
        <v>5759.34</v>
      </c>
      <c r="J127" s="230">
        <f t="shared" si="34"/>
        <v>27626.339999999997</v>
      </c>
      <c r="K127" s="230">
        <f t="shared" si="34"/>
        <v>342373.66000000003</v>
      </c>
      <c r="L127" s="230">
        <f t="shared" si="34"/>
        <v>39925.164166666676</v>
      </c>
      <c r="M127" s="230">
        <f t="shared" si="34"/>
        <v>21810.19</v>
      </c>
      <c r="N127" s="230">
        <f t="shared" si="34"/>
        <v>89361.694166666653</v>
      </c>
      <c r="O127" s="230">
        <f t="shared" si="34"/>
        <v>280638.30583333329</v>
      </c>
    </row>
    <row r="128" spans="1:15" s="246" customFormat="1" ht="35.1" customHeight="1" thickBot="1" x14ac:dyDescent="0.25">
      <c r="A128" s="208"/>
      <c r="B128" s="147"/>
      <c r="C128" s="208"/>
      <c r="D128" s="147"/>
      <c r="E128" s="147"/>
      <c r="F128" s="148"/>
      <c r="G128" s="149"/>
      <c r="H128" s="149"/>
      <c r="I128" s="149"/>
      <c r="J128" s="149"/>
      <c r="K128" s="149"/>
      <c r="L128" s="149"/>
      <c r="M128" s="149"/>
      <c r="N128" s="149"/>
      <c r="O128" s="149"/>
    </row>
    <row r="129" spans="1:15" s="148" customFormat="1" ht="35.1" customHeight="1" thickBot="1" x14ac:dyDescent="0.25">
      <c r="A129" s="343" t="s">
        <v>142</v>
      </c>
      <c r="B129" s="344"/>
      <c r="C129" s="344"/>
      <c r="D129" s="344"/>
      <c r="E129" s="344"/>
      <c r="F129" s="252"/>
      <c r="G129" s="252"/>
      <c r="H129" s="252"/>
      <c r="I129" s="252"/>
      <c r="J129" s="252"/>
      <c r="K129" s="252"/>
      <c r="L129" s="252"/>
      <c r="M129" s="252"/>
      <c r="N129" s="252"/>
      <c r="O129" s="252"/>
    </row>
    <row r="130" spans="1:15" s="224" customFormat="1" ht="35.1" customHeight="1" x14ac:dyDescent="0.2">
      <c r="A130" s="73">
        <f>+A126+1</f>
        <v>67</v>
      </c>
      <c r="B130" s="72" t="s">
        <v>44</v>
      </c>
      <c r="C130" s="73" t="s">
        <v>339</v>
      </c>
      <c r="D130" s="238" t="s">
        <v>589</v>
      </c>
      <c r="E130" s="72" t="s">
        <v>98</v>
      </c>
      <c r="F130" s="221">
        <v>95000</v>
      </c>
      <c r="G130" s="221">
        <f>F130*2.87%</f>
        <v>2726.5</v>
      </c>
      <c r="H130" s="221">
        <f>+F130*3.04%</f>
        <v>2888</v>
      </c>
      <c r="I130" s="68">
        <v>3839.56</v>
      </c>
      <c r="J130" s="220">
        <f>+G130+H130+I130</f>
        <v>9454.06</v>
      </c>
      <c r="K130" s="220">
        <f>+F130-J130</f>
        <v>85545.94</v>
      </c>
      <c r="L130" s="220">
        <f t="shared" ref="L130:L131" si="35">+IF(K130*12&lt;=416220.01,0,IF(K130*12&lt;=624329.01,(((K130*12-416220.01)*0.15)/12),IF((K130*12&lt;=867123.01),(31216+0.2*(K130*12-624329.01))/12,((79776+0.25*(K130*12-867123.01))/12))))</f>
        <v>9969.4222916666677</v>
      </c>
      <c r="M130" s="226">
        <v>6388.71</v>
      </c>
      <c r="N130" s="220">
        <f>+M130+I130+H130+G130+L130</f>
        <v>25812.192291666666</v>
      </c>
      <c r="O130" s="222">
        <f>+F130-N130</f>
        <v>69187.807708333334</v>
      </c>
    </row>
    <row r="131" spans="1:15" s="224" customFormat="1" ht="35.1" customHeight="1" x14ac:dyDescent="0.2">
      <c r="A131" s="73">
        <f>+A130+1</f>
        <v>68</v>
      </c>
      <c r="B131" s="72" t="s">
        <v>227</v>
      </c>
      <c r="C131" s="73" t="s">
        <v>339</v>
      </c>
      <c r="D131" s="238" t="s">
        <v>589</v>
      </c>
      <c r="E131" s="72" t="s">
        <v>98</v>
      </c>
      <c r="F131" s="221">
        <v>90000</v>
      </c>
      <c r="G131" s="221">
        <f>F131*2.87%</f>
        <v>2583</v>
      </c>
      <c r="H131" s="221">
        <f>+F131*3.04%</f>
        <v>2736</v>
      </c>
      <c r="I131" s="68">
        <v>0</v>
      </c>
      <c r="J131" s="220">
        <f>+G131+H131+I131</f>
        <v>5319</v>
      </c>
      <c r="K131" s="220">
        <f>+F131-J131</f>
        <v>84681</v>
      </c>
      <c r="L131" s="220">
        <f t="shared" si="35"/>
        <v>9753.1872916666671</v>
      </c>
      <c r="M131" s="226">
        <v>12415.18</v>
      </c>
      <c r="N131" s="220">
        <f>+M131+I131+H131+G131+L131</f>
        <v>27487.367291666669</v>
      </c>
      <c r="O131" s="222">
        <f>+F131-N131</f>
        <v>62512.632708333331</v>
      </c>
    </row>
    <row r="132" spans="1:15" s="224" customFormat="1" ht="35.1" customHeight="1" x14ac:dyDescent="0.2">
      <c r="A132" s="228" t="s">
        <v>100</v>
      </c>
      <c r="B132" s="229"/>
      <c r="C132" s="229"/>
      <c r="D132" s="229"/>
      <c r="E132" s="245"/>
      <c r="F132" s="230">
        <f>SUM(F130:F131)</f>
        <v>185000</v>
      </c>
      <c r="G132" s="230">
        <f t="shared" ref="G132:O132" si="36">SUM(G130:G131)</f>
        <v>5309.5</v>
      </c>
      <c r="H132" s="230">
        <f t="shared" si="36"/>
        <v>5624</v>
      </c>
      <c r="I132" s="230">
        <f t="shared" si="36"/>
        <v>3839.56</v>
      </c>
      <c r="J132" s="230">
        <f t="shared" si="36"/>
        <v>14773.06</v>
      </c>
      <c r="K132" s="230">
        <f t="shared" si="36"/>
        <v>170226.94</v>
      </c>
      <c r="L132" s="230">
        <f t="shared" si="36"/>
        <v>19722.609583333335</v>
      </c>
      <c r="M132" s="230">
        <f t="shared" si="36"/>
        <v>18803.89</v>
      </c>
      <c r="N132" s="230">
        <f t="shared" si="36"/>
        <v>53299.559583333335</v>
      </c>
      <c r="O132" s="230">
        <f t="shared" si="36"/>
        <v>131700.44041666668</v>
      </c>
    </row>
    <row r="133" spans="1:15" s="148" customFormat="1" ht="35.1" customHeight="1" thickBot="1" x14ac:dyDescent="0.25">
      <c r="A133" s="208"/>
      <c r="B133" s="147"/>
      <c r="C133" s="208"/>
      <c r="D133" s="147"/>
      <c r="E133" s="147"/>
      <c r="G133" s="149"/>
      <c r="H133" s="149"/>
      <c r="I133" s="149"/>
      <c r="J133" s="149"/>
      <c r="K133" s="149"/>
      <c r="L133" s="149"/>
      <c r="M133" s="149"/>
      <c r="N133" s="149"/>
      <c r="O133" s="149"/>
    </row>
    <row r="134" spans="1:15" s="246" customFormat="1" ht="35.1" customHeight="1" thickBot="1" x14ac:dyDescent="0.25">
      <c r="A134" s="343" t="s">
        <v>143</v>
      </c>
      <c r="B134" s="344"/>
      <c r="C134" s="344"/>
      <c r="D134" s="344"/>
      <c r="E134" s="344"/>
      <c r="F134" s="252"/>
      <c r="G134" s="252"/>
      <c r="H134" s="252"/>
      <c r="I134" s="252"/>
      <c r="J134" s="252"/>
      <c r="K134" s="252"/>
      <c r="L134" s="252"/>
      <c r="M134" s="252"/>
      <c r="N134" s="252"/>
      <c r="O134" s="252"/>
    </row>
    <row r="135" spans="1:15" ht="35.1" customHeight="1" x14ac:dyDescent="0.2">
      <c r="A135" s="242">
        <f>+A131+1</f>
        <v>69</v>
      </c>
      <c r="B135" s="219" t="s">
        <v>230</v>
      </c>
      <c r="C135" s="218" t="s">
        <v>338</v>
      </c>
      <c r="D135" s="227" t="s">
        <v>231</v>
      </c>
      <c r="E135" s="72" t="s">
        <v>98</v>
      </c>
      <c r="F135" s="220">
        <v>126500</v>
      </c>
      <c r="G135" s="68">
        <v>3630.55</v>
      </c>
      <c r="H135" s="68">
        <v>3845.6</v>
      </c>
      <c r="I135" s="68">
        <v>1919.78</v>
      </c>
      <c r="J135" s="69">
        <f>+G135+H135+I135</f>
        <v>9395.93</v>
      </c>
      <c r="K135" s="69">
        <f>+F135-J135</f>
        <v>117104.07</v>
      </c>
      <c r="L135" s="69">
        <f t="shared" ref="L135:L138" si="37">+IF(K135*12&lt;=416220.01,0,IF(K135*12&lt;=624329.01,(((K135*12-416220.01)*0.15)/12),IF((K135*12&lt;=867123.01),(31216+0.2*(K135*12-624329.01))/12,((79776+0.25*(K135*12-867123.01))/12))))</f>
        <v>17858.954791666667</v>
      </c>
      <c r="M135" s="239">
        <v>1290.29</v>
      </c>
      <c r="N135" s="220">
        <f>+M135+I135+H135+G135+L135</f>
        <v>28545.174791666668</v>
      </c>
      <c r="O135" s="84">
        <f>+F135-N135</f>
        <v>97954.825208333335</v>
      </c>
    </row>
    <row r="136" spans="1:15" s="148" customFormat="1" ht="35.1" customHeight="1" x14ac:dyDescent="0.2">
      <c r="A136" s="242">
        <f>+A135+1</f>
        <v>70</v>
      </c>
      <c r="B136" s="219" t="s">
        <v>232</v>
      </c>
      <c r="C136" s="218" t="s">
        <v>339</v>
      </c>
      <c r="D136" s="227" t="s">
        <v>589</v>
      </c>
      <c r="E136" s="72" t="s">
        <v>98</v>
      </c>
      <c r="F136" s="220">
        <v>95000</v>
      </c>
      <c r="G136" s="221">
        <f>F136*2.87%</f>
        <v>2726.5</v>
      </c>
      <c r="H136" s="68">
        <f>+F136*3.04%</f>
        <v>2888</v>
      </c>
      <c r="I136" s="68"/>
      <c r="J136" s="69">
        <f>+G136+H136+I136</f>
        <v>5614.5</v>
      </c>
      <c r="K136" s="69">
        <f>+F136-J136</f>
        <v>89385.5</v>
      </c>
      <c r="L136" s="69">
        <f t="shared" si="37"/>
        <v>10929.312291666667</v>
      </c>
      <c r="M136" s="239">
        <v>25</v>
      </c>
      <c r="N136" s="220">
        <f>+M136+I136+H136+G136+L136</f>
        <v>16568.812291666669</v>
      </c>
      <c r="O136" s="84">
        <f>+F136-N136</f>
        <v>78431.187708333338</v>
      </c>
    </row>
    <row r="137" spans="1:15" ht="35.1" customHeight="1" x14ac:dyDescent="0.2">
      <c r="A137" s="242">
        <f>+A136+1</f>
        <v>71</v>
      </c>
      <c r="B137" s="219" t="s">
        <v>159</v>
      </c>
      <c r="C137" s="218" t="s">
        <v>338</v>
      </c>
      <c r="D137" s="227" t="s">
        <v>589</v>
      </c>
      <c r="E137" s="72" t="s">
        <v>97</v>
      </c>
      <c r="F137" s="220">
        <v>95000</v>
      </c>
      <c r="G137" s="68">
        <f>F137*2.87%</f>
        <v>2726.5</v>
      </c>
      <c r="H137" s="68">
        <f>+F137*3.04%</f>
        <v>2888</v>
      </c>
      <c r="I137" s="68"/>
      <c r="J137" s="69">
        <f>+G137+H137+I137</f>
        <v>5614.5</v>
      </c>
      <c r="K137" s="69">
        <f>+F137-J137</f>
        <v>89385.5</v>
      </c>
      <c r="L137" s="69">
        <f t="shared" si="37"/>
        <v>10929.312291666667</v>
      </c>
      <c r="M137" s="239">
        <v>25</v>
      </c>
      <c r="N137" s="220">
        <f>+M137+I137+H137+G137+L137</f>
        <v>16568.812291666669</v>
      </c>
      <c r="O137" s="84">
        <f>+F137-N137</f>
        <v>78431.187708333338</v>
      </c>
    </row>
    <row r="138" spans="1:15" s="246" customFormat="1" ht="35.1" customHeight="1" x14ac:dyDescent="0.2">
      <c r="A138" s="242">
        <f>+A137+1</f>
        <v>72</v>
      </c>
      <c r="B138" s="219" t="s">
        <v>55</v>
      </c>
      <c r="C138" s="218" t="s">
        <v>338</v>
      </c>
      <c r="D138" s="227" t="s">
        <v>589</v>
      </c>
      <c r="E138" s="72" t="s">
        <v>98</v>
      </c>
      <c r="F138" s="220">
        <v>95000</v>
      </c>
      <c r="G138" s="221">
        <f>F138*2.87%</f>
        <v>2726.5</v>
      </c>
      <c r="H138" s="68">
        <f>+F138*3.04%</f>
        <v>2888</v>
      </c>
      <c r="I138" s="68">
        <f>1919.78*2</f>
        <v>3839.56</v>
      </c>
      <c r="J138" s="69">
        <f>+G138+H138+I138</f>
        <v>9454.06</v>
      </c>
      <c r="K138" s="69">
        <f>+F138-J138</f>
        <v>85545.94</v>
      </c>
      <c r="L138" s="69">
        <f t="shared" si="37"/>
        <v>9969.4222916666677</v>
      </c>
      <c r="M138" s="226">
        <v>1790.29</v>
      </c>
      <c r="N138" s="220">
        <f>+M138+I138+H138+G138+L138</f>
        <v>21213.772291666668</v>
      </c>
      <c r="O138" s="84">
        <f>+F138-N138</f>
        <v>73786.227708333332</v>
      </c>
    </row>
    <row r="139" spans="1:15" s="224" customFormat="1" ht="35.1" customHeight="1" x14ac:dyDescent="0.2">
      <c r="A139" s="228" t="s">
        <v>100</v>
      </c>
      <c r="B139" s="229"/>
      <c r="C139" s="229"/>
      <c r="D139" s="229"/>
      <c r="E139" s="245"/>
      <c r="F139" s="230">
        <f>SUM(F135:F138)</f>
        <v>411500</v>
      </c>
      <c r="G139" s="230">
        <f t="shared" ref="G139:O139" si="38">SUM(G135:G138)</f>
        <v>11810.05</v>
      </c>
      <c r="H139" s="230">
        <f t="shared" si="38"/>
        <v>12509.6</v>
      </c>
      <c r="I139" s="230">
        <f t="shared" si="38"/>
        <v>5759.34</v>
      </c>
      <c r="J139" s="230">
        <f t="shared" si="38"/>
        <v>30078.989999999998</v>
      </c>
      <c r="K139" s="230">
        <f t="shared" si="38"/>
        <v>381421.01</v>
      </c>
      <c r="L139" s="230">
        <f t="shared" si="38"/>
        <v>49687.001666666671</v>
      </c>
      <c r="M139" s="230">
        <f t="shared" si="38"/>
        <v>3130.58</v>
      </c>
      <c r="N139" s="230">
        <f t="shared" si="38"/>
        <v>82896.571666666685</v>
      </c>
      <c r="O139" s="230">
        <f t="shared" si="38"/>
        <v>328603.42833333334</v>
      </c>
    </row>
    <row r="140" spans="1:15" s="224" customFormat="1" ht="35.1" customHeight="1" thickBot="1" x14ac:dyDescent="0.25">
      <c r="A140" s="146"/>
      <c r="B140" s="146"/>
      <c r="C140" s="146"/>
      <c r="D140" s="146"/>
      <c r="E140" s="146"/>
      <c r="F140" s="231"/>
      <c r="G140" s="231"/>
      <c r="H140" s="231"/>
      <c r="I140" s="231"/>
      <c r="J140" s="231"/>
      <c r="K140" s="231"/>
      <c r="L140" s="231"/>
      <c r="M140" s="231"/>
      <c r="N140" s="231"/>
      <c r="O140" s="231"/>
    </row>
    <row r="141" spans="1:15" s="224" customFormat="1" ht="35.1" customHeight="1" thickBot="1" x14ac:dyDescent="0.25">
      <c r="A141" s="234" t="s">
        <v>144</v>
      </c>
      <c r="B141" s="235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</row>
    <row r="142" spans="1:15" s="148" customFormat="1" ht="35.1" customHeight="1" x14ac:dyDescent="0.2">
      <c r="A142" s="73">
        <f>+A138+1</f>
        <v>73</v>
      </c>
      <c r="B142" s="72" t="s">
        <v>56</v>
      </c>
      <c r="C142" s="73" t="s">
        <v>339</v>
      </c>
      <c r="D142" s="238" t="s">
        <v>169</v>
      </c>
      <c r="E142" s="72" t="s">
        <v>98</v>
      </c>
      <c r="F142" s="221">
        <v>148500</v>
      </c>
      <c r="G142" s="68">
        <v>4261.95</v>
      </c>
      <c r="H142" s="68">
        <v>4514.3999999999996</v>
      </c>
      <c r="I142" s="68"/>
      <c r="J142" s="69">
        <f>+G142+H142+I142</f>
        <v>8776.3499999999985</v>
      </c>
      <c r="K142" s="69">
        <f>+F142-J142</f>
        <v>139723.65</v>
      </c>
      <c r="L142" s="69">
        <f t="shared" ref="L142:L143" si="39">+IF(K142*12&lt;=416220.01,0,IF(K142*12&lt;=624329.01,(((K142*12-416220.01)*0.15)/12),IF((K142*12&lt;=867123.01),(31216+0.2*(K142*12-624329.01))/12,((79776+0.25*(K142*12-867123.01))/12))))</f>
        <v>23513.849791666664</v>
      </c>
      <c r="M142" s="226">
        <v>18699.22</v>
      </c>
      <c r="N142" s="220">
        <f>+M142+I142+H142+G142+L142</f>
        <v>50989.419791666667</v>
      </c>
      <c r="O142" s="239">
        <f>+F142-N142</f>
        <v>97510.580208333326</v>
      </c>
    </row>
    <row r="143" spans="1:15" s="148" customFormat="1" ht="35.1" customHeight="1" x14ac:dyDescent="0.2">
      <c r="A143" s="73">
        <f>+A142+1</f>
        <v>74</v>
      </c>
      <c r="B143" s="72" t="s">
        <v>362</v>
      </c>
      <c r="C143" s="73" t="s">
        <v>339</v>
      </c>
      <c r="D143" s="238" t="s">
        <v>51</v>
      </c>
      <c r="E143" s="72" t="s">
        <v>193</v>
      </c>
      <c r="F143" s="221">
        <v>50000</v>
      </c>
      <c r="G143" s="68">
        <f>+F143*2.87%</f>
        <v>1435</v>
      </c>
      <c r="H143" s="68">
        <f>+F143*3.04%</f>
        <v>1520</v>
      </c>
      <c r="I143" s="68"/>
      <c r="J143" s="69">
        <f>+G143+H143+I143</f>
        <v>2955</v>
      </c>
      <c r="K143" s="69">
        <f>+F143-J143</f>
        <v>47045</v>
      </c>
      <c r="L143" s="69">
        <f t="shared" si="39"/>
        <v>1853.9998749999997</v>
      </c>
      <c r="M143" s="226">
        <v>225</v>
      </c>
      <c r="N143" s="220">
        <f>+M143+I143+H143+G143+L143</f>
        <v>5033.9998749999995</v>
      </c>
      <c r="O143" s="239">
        <f>+F143-N143</f>
        <v>44966.000124999999</v>
      </c>
    </row>
    <row r="144" spans="1:15" s="224" customFormat="1" ht="35.1" customHeight="1" x14ac:dyDescent="0.2">
      <c r="A144" s="228" t="s">
        <v>100</v>
      </c>
      <c r="B144" s="229"/>
      <c r="C144" s="229"/>
      <c r="D144" s="229"/>
      <c r="E144" s="245"/>
      <c r="F144" s="230">
        <f t="shared" ref="F144:L144" si="40">SUM(F142:F143)</f>
        <v>198500</v>
      </c>
      <c r="G144" s="230">
        <f t="shared" si="40"/>
        <v>5696.95</v>
      </c>
      <c r="H144" s="230">
        <f t="shared" si="40"/>
        <v>6034.4</v>
      </c>
      <c r="I144" s="230">
        <f t="shared" si="40"/>
        <v>0</v>
      </c>
      <c r="J144" s="230">
        <f t="shared" si="40"/>
        <v>11731.349999999999</v>
      </c>
      <c r="K144" s="230">
        <f t="shared" si="40"/>
        <v>186768.65</v>
      </c>
      <c r="L144" s="230">
        <f t="shared" si="40"/>
        <v>25367.849666666665</v>
      </c>
      <c r="M144" s="230">
        <f>SUM(M142:M143)</f>
        <v>18924.22</v>
      </c>
      <c r="N144" s="230">
        <f t="shared" ref="N144:O144" si="41">SUM(N142:N143)</f>
        <v>56023.419666666668</v>
      </c>
      <c r="O144" s="230">
        <f t="shared" si="41"/>
        <v>142476.58033333332</v>
      </c>
    </row>
    <row r="145" spans="1:15" s="258" customFormat="1" ht="35.1" customHeight="1" thickBot="1" x14ac:dyDescent="0.25">
      <c r="A145" s="145"/>
      <c r="B145" s="145"/>
      <c r="C145" s="145"/>
      <c r="D145" s="145"/>
      <c r="E145" s="145"/>
      <c r="F145" s="231"/>
      <c r="G145" s="231"/>
      <c r="H145" s="231"/>
      <c r="I145" s="231"/>
      <c r="J145" s="231"/>
      <c r="K145" s="231"/>
      <c r="L145" s="231"/>
      <c r="M145" s="231"/>
      <c r="N145" s="231"/>
      <c r="O145" s="231"/>
    </row>
    <row r="146" spans="1:15" s="246" customFormat="1" ht="35.1" customHeight="1" thickBot="1" x14ac:dyDescent="0.25">
      <c r="A146" s="234" t="s">
        <v>591</v>
      </c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</row>
    <row r="147" spans="1:15" s="224" customFormat="1" ht="35.1" customHeight="1" x14ac:dyDescent="0.2">
      <c r="A147" s="240">
        <f>+A143+1</f>
        <v>75</v>
      </c>
      <c r="B147" s="72" t="s">
        <v>204</v>
      </c>
      <c r="C147" s="73" t="s">
        <v>339</v>
      </c>
      <c r="D147" s="238" t="s">
        <v>589</v>
      </c>
      <c r="E147" s="72" t="s">
        <v>97</v>
      </c>
      <c r="F147" s="221">
        <v>95000</v>
      </c>
      <c r="G147" s="221">
        <f>F147*2.87%</f>
        <v>2726.5</v>
      </c>
      <c r="H147" s="68">
        <f>+F147*3.04%</f>
        <v>2888</v>
      </c>
      <c r="I147" s="68">
        <v>1919.78</v>
      </c>
      <c r="J147" s="69">
        <f>+G147+H147+I147</f>
        <v>7534.28</v>
      </c>
      <c r="K147" s="69">
        <f>+F147-J147</f>
        <v>87465.72</v>
      </c>
      <c r="L147" s="69">
        <f>+IF(K147*12&lt;=416220.01,0,IF(K147*12&lt;=624329.01,(((K147*12-416220.01)*0.15)/12),IF((K147*12&lt;=867123.01),(31216+0.2*(K147*12-624329.01))/12,((79776+0.25*(K147*12-867123.01))/12))))</f>
        <v>10449.367291666669</v>
      </c>
      <c r="M147" s="226">
        <v>11027.78</v>
      </c>
      <c r="N147" s="220">
        <f>+M147+I147+H147+G147+L147</f>
        <v>29011.42729166667</v>
      </c>
      <c r="O147" s="84">
        <f>+F147-N147</f>
        <v>65988.572708333333</v>
      </c>
    </row>
    <row r="148" spans="1:15" s="148" customFormat="1" ht="35.1" customHeight="1" x14ac:dyDescent="0.2">
      <c r="A148" s="228" t="s">
        <v>100</v>
      </c>
      <c r="B148" s="229"/>
      <c r="C148" s="229"/>
      <c r="D148" s="229"/>
      <c r="E148" s="245"/>
      <c r="F148" s="230">
        <f t="shared" ref="F148:L148" si="42">SUM(F147:F147)</f>
        <v>95000</v>
      </c>
      <c r="G148" s="230">
        <f t="shared" si="42"/>
        <v>2726.5</v>
      </c>
      <c r="H148" s="230">
        <f t="shared" si="42"/>
        <v>2888</v>
      </c>
      <c r="I148" s="230">
        <f t="shared" si="42"/>
        <v>1919.78</v>
      </c>
      <c r="J148" s="230">
        <f t="shared" si="42"/>
        <v>7534.28</v>
      </c>
      <c r="K148" s="230">
        <f t="shared" si="42"/>
        <v>87465.72</v>
      </c>
      <c r="L148" s="230">
        <f t="shared" si="42"/>
        <v>10449.367291666669</v>
      </c>
      <c r="M148" s="230">
        <f>SUM(M147:M147)</f>
        <v>11027.78</v>
      </c>
      <c r="N148" s="230">
        <f>SUM(N147:N147)</f>
        <v>29011.42729166667</v>
      </c>
      <c r="O148" s="230">
        <f>SUM(O147:O147)</f>
        <v>65988.572708333333</v>
      </c>
    </row>
    <row r="149" spans="1:15" s="224" customFormat="1" ht="35.1" customHeight="1" thickBot="1" x14ac:dyDescent="0.25">
      <c r="A149" s="223"/>
      <c r="B149" s="223"/>
      <c r="C149" s="249"/>
      <c r="D149" s="223"/>
      <c r="E149" s="223"/>
      <c r="F149" s="223"/>
      <c r="G149" s="223"/>
      <c r="H149" s="223"/>
      <c r="I149" s="223"/>
      <c r="J149" s="223"/>
      <c r="K149" s="223"/>
      <c r="L149" s="223"/>
      <c r="M149" s="223"/>
      <c r="N149" s="223"/>
      <c r="O149" s="223"/>
    </row>
    <row r="150" spans="1:15" s="224" customFormat="1" ht="35.1" customHeight="1" thickBot="1" x14ac:dyDescent="0.25">
      <c r="A150" s="345" t="s">
        <v>145</v>
      </c>
      <c r="B150" s="346"/>
      <c r="C150" s="346"/>
      <c r="D150" s="346"/>
      <c r="E150" s="346"/>
      <c r="F150" s="252"/>
      <c r="G150" s="252"/>
      <c r="H150" s="252"/>
      <c r="I150" s="252"/>
      <c r="J150" s="252"/>
      <c r="K150" s="252"/>
      <c r="L150" s="252"/>
      <c r="M150" s="252"/>
      <c r="N150" s="252"/>
      <c r="O150" s="252"/>
    </row>
    <row r="151" spans="1:15" s="224" customFormat="1" ht="35.1" customHeight="1" x14ac:dyDescent="0.2">
      <c r="A151" s="240">
        <f>+A147+1</f>
        <v>76</v>
      </c>
      <c r="B151" s="72" t="s">
        <v>235</v>
      </c>
      <c r="C151" s="73" t="s">
        <v>338</v>
      </c>
      <c r="D151" s="238" t="s">
        <v>589</v>
      </c>
      <c r="E151" s="72" t="s">
        <v>98</v>
      </c>
      <c r="F151" s="221">
        <v>95000</v>
      </c>
      <c r="G151" s="221">
        <f>F151*2.87%</f>
        <v>2726.5</v>
      </c>
      <c r="H151" s="68">
        <f>F151*3.04%</f>
        <v>2888</v>
      </c>
      <c r="I151" s="68"/>
      <c r="J151" s="69">
        <f>+G151+H151+I151</f>
        <v>5614.5</v>
      </c>
      <c r="K151" s="69">
        <f>+F151-J151</f>
        <v>89385.5</v>
      </c>
      <c r="L151" s="69">
        <f>+IF(K151*12&lt;=416220.01,0,IF(K151*12&lt;=624329.01,(((K151*12-416220.01)*0.15)/12),IF((K151*12&lt;=867123.01),(31216+0.2*(K151*12-624329.01))/12,((79776+0.25*(K151*12-867123.01))/12))))</f>
        <v>10929.312291666667</v>
      </c>
      <c r="M151" s="226">
        <v>265</v>
      </c>
      <c r="N151" s="220">
        <f>+M151+I151+H151+G151+L151</f>
        <v>16808.812291666669</v>
      </c>
      <c r="O151" s="84">
        <f>+F151-N151</f>
        <v>78191.187708333338</v>
      </c>
    </row>
    <row r="152" spans="1:15" s="224" customFormat="1" ht="41.25" customHeight="1" x14ac:dyDescent="0.2">
      <c r="A152" s="228" t="s">
        <v>100</v>
      </c>
      <c r="B152" s="229"/>
      <c r="C152" s="229"/>
      <c r="D152" s="229"/>
      <c r="E152" s="245"/>
      <c r="F152" s="230">
        <f t="shared" ref="F152:L152" si="43">SUM(F151:F151)</f>
        <v>95000</v>
      </c>
      <c r="G152" s="230">
        <f t="shared" si="43"/>
        <v>2726.5</v>
      </c>
      <c r="H152" s="230">
        <f t="shared" si="43"/>
        <v>2888</v>
      </c>
      <c r="I152" s="230">
        <f t="shared" si="43"/>
        <v>0</v>
      </c>
      <c r="J152" s="230">
        <f t="shared" si="43"/>
        <v>5614.5</v>
      </c>
      <c r="K152" s="230">
        <f t="shared" si="43"/>
        <v>89385.5</v>
      </c>
      <c r="L152" s="230">
        <f t="shared" si="43"/>
        <v>10929.312291666667</v>
      </c>
      <c r="M152" s="230">
        <f>SUM(M151:M151)</f>
        <v>265</v>
      </c>
      <c r="N152" s="230">
        <f t="shared" ref="N152:O152" si="44">SUM(N151:N151)</f>
        <v>16808.812291666669</v>
      </c>
      <c r="O152" s="230">
        <f t="shared" si="44"/>
        <v>78191.187708333338</v>
      </c>
    </row>
    <row r="153" spans="1:15" s="224" customFormat="1" ht="35.1" customHeight="1" thickBot="1" x14ac:dyDescent="0.25">
      <c r="A153" s="145"/>
      <c r="B153" s="145"/>
      <c r="C153" s="145"/>
      <c r="D153" s="145"/>
      <c r="E153" s="145"/>
      <c r="F153" s="231"/>
      <c r="G153" s="231"/>
      <c r="H153" s="231"/>
      <c r="I153" s="231"/>
      <c r="J153" s="231"/>
      <c r="K153" s="231"/>
      <c r="L153" s="231"/>
      <c r="M153" s="231"/>
      <c r="N153" s="231"/>
      <c r="O153" s="231"/>
    </row>
    <row r="154" spans="1:15" s="246" customFormat="1" ht="35.1" customHeight="1" thickBot="1" x14ac:dyDescent="0.25">
      <c r="A154" s="234" t="s">
        <v>245</v>
      </c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</row>
    <row r="155" spans="1:15" ht="43.5" customHeight="1" thickBot="1" x14ac:dyDescent="0.25">
      <c r="A155" s="234" t="s">
        <v>246</v>
      </c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</row>
    <row r="156" spans="1:15" ht="35.1" customHeight="1" x14ac:dyDescent="0.2">
      <c r="A156" s="240">
        <f>+A151+1</f>
        <v>77</v>
      </c>
      <c r="B156" s="72" t="s">
        <v>236</v>
      </c>
      <c r="C156" s="73" t="s">
        <v>339</v>
      </c>
      <c r="D156" s="88" t="s">
        <v>432</v>
      </c>
      <c r="E156" s="72" t="s">
        <v>97</v>
      </c>
      <c r="F156" s="221">
        <v>120000</v>
      </c>
      <c r="G156" s="221">
        <f>F156*2.87%</f>
        <v>3444</v>
      </c>
      <c r="H156" s="68">
        <f>+F156*3.04%</f>
        <v>3648</v>
      </c>
      <c r="I156" s="68"/>
      <c r="J156" s="69">
        <f>+G156+H156+I156</f>
        <v>7092</v>
      </c>
      <c r="K156" s="69">
        <f>+F156-J156</f>
        <v>112908</v>
      </c>
      <c r="L156" s="69">
        <f>+IF(K156*12&lt;=416220.01,0,IF(K156*12&lt;=624329.01,(((K156*12-416220.01)*0.15)/12),IF((K156*12&lt;=867123.01),(31216+0.2*(K156*12-624329.01))/12,((79776+0.25*(K156*12-867123.01))/12))))</f>
        <v>16809.937291666665</v>
      </c>
      <c r="M156" s="239">
        <v>25</v>
      </c>
      <c r="N156" s="220">
        <f>+M156+I156+H156+G156+L156</f>
        <v>23926.937291666665</v>
      </c>
      <c r="O156" s="239">
        <f>+F156-N156</f>
        <v>96073.062708333338</v>
      </c>
    </row>
    <row r="157" spans="1:15" s="224" customFormat="1" ht="35.1" customHeight="1" x14ac:dyDescent="0.2">
      <c r="A157" s="228" t="s">
        <v>100</v>
      </c>
      <c r="B157" s="229"/>
      <c r="C157" s="229"/>
      <c r="D157" s="229"/>
      <c r="E157" s="245"/>
      <c r="F157" s="230">
        <f t="shared" ref="F157:O157" si="45">SUM(F156:F156)</f>
        <v>120000</v>
      </c>
      <c r="G157" s="230">
        <f t="shared" si="45"/>
        <v>3444</v>
      </c>
      <c r="H157" s="230">
        <f t="shared" si="45"/>
        <v>3648</v>
      </c>
      <c r="I157" s="230">
        <f t="shared" si="45"/>
        <v>0</v>
      </c>
      <c r="J157" s="230">
        <f t="shared" si="45"/>
        <v>7092</v>
      </c>
      <c r="K157" s="230">
        <f t="shared" si="45"/>
        <v>112908</v>
      </c>
      <c r="L157" s="230">
        <f t="shared" si="45"/>
        <v>16809.937291666665</v>
      </c>
      <c r="M157" s="230">
        <f t="shared" si="45"/>
        <v>25</v>
      </c>
      <c r="N157" s="230">
        <f t="shared" si="45"/>
        <v>23926.937291666665</v>
      </c>
      <c r="O157" s="230">
        <f t="shared" si="45"/>
        <v>96073.062708333338</v>
      </c>
    </row>
    <row r="158" spans="1:15" s="246" customFormat="1" ht="35.1" customHeight="1" thickBot="1" x14ac:dyDescent="0.25">
      <c r="A158" s="148"/>
      <c r="B158" s="148"/>
      <c r="C158" s="232"/>
      <c r="D158" s="148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</row>
    <row r="159" spans="1:15" s="246" customFormat="1" ht="35.1" customHeight="1" thickBot="1" x14ac:dyDescent="0.25">
      <c r="A159" s="234" t="s">
        <v>69</v>
      </c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</row>
    <row r="160" spans="1:15" s="148" customFormat="1" ht="35.1" customHeight="1" x14ac:dyDescent="0.2">
      <c r="A160" s="240">
        <f>+A156+1</f>
        <v>78</v>
      </c>
      <c r="B160" s="280" t="s">
        <v>530</v>
      </c>
      <c r="C160" s="240" t="s">
        <v>339</v>
      </c>
      <c r="D160" s="290" t="s">
        <v>550</v>
      </c>
      <c r="E160" s="243" t="s">
        <v>98</v>
      </c>
      <c r="F160" s="68">
        <v>100000</v>
      </c>
      <c r="G160" s="68">
        <f>F160*2.87%</f>
        <v>2870</v>
      </c>
      <c r="H160" s="68">
        <f>+F160*3.04%</f>
        <v>3040</v>
      </c>
      <c r="I160" s="68">
        <v>1919.78</v>
      </c>
      <c r="J160" s="69">
        <f>+G160+H160+I160</f>
        <v>7829.78</v>
      </c>
      <c r="K160" s="69">
        <f>+F160-J160</f>
        <v>92170.22</v>
      </c>
      <c r="L160" s="69">
        <f>+IF(K160*12&lt;=416220.01,0,IF(K160*12&lt;=624329.01,(((K160*12-416220.01)*0.15)/12),IF((K160*12&lt;=867123.01),(31216+0.2*(K160*12-624329.01))/12,((79776+0.25*(K160*12-867123.01))/12))))</f>
        <v>11625.492291666669</v>
      </c>
      <c r="M160" s="239">
        <v>25</v>
      </c>
      <c r="N160" s="220">
        <f>+M160+I160+H160+G160+L160</f>
        <v>19480.272291666668</v>
      </c>
      <c r="O160" s="239">
        <f>+F160-N160</f>
        <v>80519.727708333332</v>
      </c>
    </row>
    <row r="161" spans="1:15" s="224" customFormat="1" ht="35.1" customHeight="1" thickBot="1" x14ac:dyDescent="0.25">
      <c r="A161" s="228" t="s">
        <v>100</v>
      </c>
      <c r="B161" s="229"/>
      <c r="C161" s="229"/>
      <c r="D161" s="229"/>
      <c r="E161" s="245"/>
      <c r="F161" s="230">
        <f t="shared" ref="F161:O161" si="46">SUM(F160:F160)</f>
        <v>100000</v>
      </c>
      <c r="G161" s="230">
        <f t="shared" si="46"/>
        <v>2870</v>
      </c>
      <c r="H161" s="230">
        <f t="shared" si="46"/>
        <v>3040</v>
      </c>
      <c r="I161" s="230">
        <f t="shared" si="46"/>
        <v>1919.78</v>
      </c>
      <c r="J161" s="230">
        <f t="shared" si="46"/>
        <v>7829.78</v>
      </c>
      <c r="K161" s="230">
        <f t="shared" si="46"/>
        <v>92170.22</v>
      </c>
      <c r="L161" s="230">
        <f t="shared" si="46"/>
        <v>11625.492291666669</v>
      </c>
      <c r="M161" s="230">
        <f t="shared" si="46"/>
        <v>25</v>
      </c>
      <c r="N161" s="230">
        <f t="shared" si="46"/>
        <v>19480.272291666668</v>
      </c>
      <c r="O161" s="230">
        <f t="shared" si="46"/>
        <v>80519.727708333332</v>
      </c>
    </row>
    <row r="162" spans="1:15" s="224" customFormat="1" ht="35.1" customHeight="1" thickBot="1" x14ac:dyDescent="0.25">
      <c r="A162" s="234" t="s">
        <v>70</v>
      </c>
      <c r="B162" s="235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</row>
    <row r="163" spans="1:15" s="246" customFormat="1" ht="35.1" customHeight="1" x14ac:dyDescent="0.2">
      <c r="A163" s="242">
        <f>+A160+1</f>
        <v>79</v>
      </c>
      <c r="B163" s="219" t="s">
        <v>9</v>
      </c>
      <c r="C163" s="218" t="s">
        <v>339</v>
      </c>
      <c r="D163" s="225" t="s">
        <v>85</v>
      </c>
      <c r="E163" s="219" t="s">
        <v>166</v>
      </c>
      <c r="F163" s="220">
        <v>145000</v>
      </c>
      <c r="G163" s="220">
        <f>F163*2.87%</f>
        <v>4161.5</v>
      </c>
      <c r="H163" s="220">
        <f>+F163*3.04%</f>
        <v>4408</v>
      </c>
      <c r="I163" s="220"/>
      <c r="J163" s="69">
        <f>+G163+H163+I163</f>
        <v>8569.5</v>
      </c>
      <c r="K163" s="69">
        <f>+F163-J163</f>
        <v>136430.5</v>
      </c>
      <c r="L163" s="69">
        <f>+IF(K163*12&lt;=416220.01,0,IF(K163*12&lt;=624329.01,(((K163*12-416220.01)*0.15)/12),IF((K163*12&lt;=867123.01),(31216+0.2*(K163*12-624329.01))/12,((79776+0.25*(K163*12-867123.01))/12))))</f>
        <v>22690.562291666665</v>
      </c>
      <c r="M163" s="84">
        <v>25</v>
      </c>
      <c r="N163" s="220">
        <f>+M163+I163+H163+G163+L163</f>
        <v>31285.062291666665</v>
      </c>
      <c r="O163" s="222">
        <f>+F163-N163</f>
        <v>113714.93770833334</v>
      </c>
    </row>
    <row r="164" spans="1:15" s="98" customFormat="1" ht="35.1" customHeight="1" x14ac:dyDescent="0.2">
      <c r="A164" s="228" t="s">
        <v>100</v>
      </c>
      <c r="B164" s="229"/>
      <c r="C164" s="229"/>
      <c r="D164" s="229"/>
      <c r="E164" s="245"/>
      <c r="F164" s="230">
        <f t="shared" ref="F164:L164" si="47">SUM(F163:F163)</f>
        <v>145000</v>
      </c>
      <c r="G164" s="230">
        <f t="shared" si="47"/>
        <v>4161.5</v>
      </c>
      <c r="H164" s="230">
        <f t="shared" si="47"/>
        <v>4408</v>
      </c>
      <c r="I164" s="230">
        <f t="shared" si="47"/>
        <v>0</v>
      </c>
      <c r="J164" s="230">
        <f t="shared" si="47"/>
        <v>8569.5</v>
      </c>
      <c r="K164" s="230">
        <f t="shared" si="47"/>
        <v>136430.5</v>
      </c>
      <c r="L164" s="230">
        <f t="shared" si="47"/>
        <v>22690.562291666665</v>
      </c>
      <c r="M164" s="230">
        <f>SUM(M163:M163)</f>
        <v>25</v>
      </c>
      <c r="N164" s="230">
        <f t="shared" ref="N164:O164" si="48">SUM(N163:N163)</f>
        <v>31285.062291666665</v>
      </c>
      <c r="O164" s="230">
        <f t="shared" si="48"/>
        <v>113714.93770833334</v>
      </c>
    </row>
    <row r="165" spans="1:15" s="224" customFormat="1" ht="35.1" customHeight="1" thickBot="1" x14ac:dyDescent="0.25">
      <c r="A165" s="146"/>
      <c r="B165" s="146"/>
      <c r="C165" s="146"/>
      <c r="D165" s="146"/>
      <c r="E165" s="146"/>
      <c r="F165" s="223"/>
      <c r="G165" s="223"/>
      <c r="H165" s="223"/>
      <c r="I165" s="223"/>
      <c r="J165" s="223"/>
      <c r="K165" s="223"/>
      <c r="L165" s="223"/>
      <c r="M165" s="223"/>
      <c r="N165" s="223"/>
      <c r="O165" s="223"/>
    </row>
    <row r="166" spans="1:15" s="224" customFormat="1" ht="35.1" customHeight="1" thickBot="1" x14ac:dyDescent="0.25">
      <c r="A166" s="234" t="s">
        <v>244</v>
      </c>
      <c r="B166" s="235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</row>
    <row r="167" spans="1:15" s="224" customFormat="1" ht="35.1" customHeight="1" x14ac:dyDescent="0.2">
      <c r="A167" s="242">
        <f>+A163+1</f>
        <v>80</v>
      </c>
      <c r="B167" s="243" t="s">
        <v>43</v>
      </c>
      <c r="C167" s="240" t="s">
        <v>339</v>
      </c>
      <c r="D167" s="238" t="s">
        <v>415</v>
      </c>
      <c r="E167" s="243" t="s">
        <v>97</v>
      </c>
      <c r="F167" s="68">
        <v>135000</v>
      </c>
      <c r="G167" s="68">
        <f>F167*2.87%</f>
        <v>3874.5</v>
      </c>
      <c r="H167" s="68">
        <f>+F167*3.04%</f>
        <v>4104</v>
      </c>
      <c r="I167" s="68">
        <v>1919.78</v>
      </c>
      <c r="J167" s="69">
        <f>+G167+H167+I167</f>
        <v>9898.2800000000007</v>
      </c>
      <c r="K167" s="69">
        <f>+F167-J167</f>
        <v>125101.72</v>
      </c>
      <c r="L167" s="69">
        <f t="shared" ref="L167:L171" si="49">+IF(K167*12&lt;=416220.01,0,IF(K167*12&lt;=624329.01,(((K167*12-416220.01)*0.15)/12),IF((K167*12&lt;=867123.01),(31216+0.2*(K167*12-624329.01))/12,((79776+0.25*(K167*12-867123.01))/12))))</f>
        <v>19858.367291666669</v>
      </c>
      <c r="M167" s="239">
        <v>25</v>
      </c>
      <c r="N167" s="220">
        <f>+M167+I167+H167+G167+L167</f>
        <v>29781.647291666668</v>
      </c>
      <c r="O167" s="84">
        <f>+F167-N167</f>
        <v>105218.35270833333</v>
      </c>
    </row>
    <row r="168" spans="1:15" s="211" customFormat="1" ht="35.1" customHeight="1" x14ac:dyDescent="0.2">
      <c r="A168" s="242">
        <f>+A167+1</f>
        <v>81</v>
      </c>
      <c r="B168" s="243" t="s">
        <v>240</v>
      </c>
      <c r="C168" s="240" t="s">
        <v>339</v>
      </c>
      <c r="D168" s="238" t="s">
        <v>239</v>
      </c>
      <c r="E168" s="243" t="s">
        <v>98</v>
      </c>
      <c r="F168" s="68">
        <v>100000</v>
      </c>
      <c r="G168" s="221">
        <f>F168*2.87%</f>
        <v>2870</v>
      </c>
      <c r="H168" s="68">
        <f>+F168*3.04%</f>
        <v>3040</v>
      </c>
      <c r="I168" s="68"/>
      <c r="J168" s="69">
        <f>+G168+H168+I168</f>
        <v>5910</v>
      </c>
      <c r="K168" s="69">
        <f>+F168-J168</f>
        <v>94090</v>
      </c>
      <c r="L168" s="69">
        <f t="shared" si="49"/>
        <v>12105.437291666667</v>
      </c>
      <c r="M168" s="239">
        <v>25</v>
      </c>
      <c r="N168" s="220">
        <f>+M168+I168+H168+G168+L168</f>
        <v>18040.437291666669</v>
      </c>
      <c r="O168" s="84">
        <f>+F168-N168</f>
        <v>81959.562708333338</v>
      </c>
    </row>
    <row r="169" spans="1:15" s="148" customFormat="1" ht="35.1" customHeight="1" x14ac:dyDescent="0.2">
      <c r="A169" s="242">
        <f>+A168+1</f>
        <v>82</v>
      </c>
      <c r="B169" s="243" t="s">
        <v>225</v>
      </c>
      <c r="C169" s="240" t="s">
        <v>339</v>
      </c>
      <c r="D169" s="256" t="s">
        <v>239</v>
      </c>
      <c r="E169" s="243" t="s">
        <v>97</v>
      </c>
      <c r="F169" s="68">
        <v>90000</v>
      </c>
      <c r="G169" s="221">
        <f>F169*2.87%</f>
        <v>2583</v>
      </c>
      <c r="H169" s="221">
        <f>+F169*3.04%</f>
        <v>2736</v>
      </c>
      <c r="I169" s="221"/>
      <c r="J169" s="220">
        <f>+G169+H169+I169</f>
        <v>5319</v>
      </c>
      <c r="K169" s="220">
        <f>+F169-J169</f>
        <v>84681</v>
      </c>
      <c r="L169" s="69">
        <f t="shared" si="49"/>
        <v>9753.1872916666671</v>
      </c>
      <c r="M169" s="226">
        <v>305</v>
      </c>
      <c r="N169" s="220">
        <f>+M169+I169+H169+G169+L169</f>
        <v>15377.187291666667</v>
      </c>
      <c r="O169" s="222">
        <f>+F169-N169</f>
        <v>74622.812708333338</v>
      </c>
    </row>
    <row r="170" spans="1:15" s="148" customFormat="1" ht="35.1" customHeight="1" x14ac:dyDescent="0.2">
      <c r="A170" s="242">
        <f>+A169+1</f>
        <v>83</v>
      </c>
      <c r="B170" s="243" t="s">
        <v>214</v>
      </c>
      <c r="C170" s="240" t="s">
        <v>339</v>
      </c>
      <c r="D170" s="238" t="s">
        <v>239</v>
      </c>
      <c r="E170" s="243" t="s">
        <v>97</v>
      </c>
      <c r="F170" s="68">
        <v>85000</v>
      </c>
      <c r="G170" s="68">
        <f>F170*2.87%</f>
        <v>2439.5</v>
      </c>
      <c r="H170" s="68">
        <f>+F170*3.04%</f>
        <v>2584</v>
      </c>
      <c r="I170" s="68"/>
      <c r="J170" s="69">
        <f>+G170+H170+I170</f>
        <v>5023.5</v>
      </c>
      <c r="K170" s="69">
        <f>+F170-J170</f>
        <v>79976.5</v>
      </c>
      <c r="L170" s="69">
        <f t="shared" si="49"/>
        <v>8577.0622916666671</v>
      </c>
      <c r="M170" s="84">
        <v>4725</v>
      </c>
      <c r="N170" s="220">
        <f>+M170+I170+H170+G170+L170</f>
        <v>18325.562291666669</v>
      </c>
      <c r="O170" s="84">
        <f>+F170-N170</f>
        <v>66674.437708333338</v>
      </c>
    </row>
    <row r="171" spans="1:15" s="148" customFormat="1" ht="35.1" customHeight="1" x14ac:dyDescent="0.2">
      <c r="A171" s="242">
        <f>+A170+1</f>
        <v>84</v>
      </c>
      <c r="B171" s="243" t="s">
        <v>237</v>
      </c>
      <c r="C171" s="240" t="s">
        <v>339</v>
      </c>
      <c r="D171" s="238" t="s">
        <v>51</v>
      </c>
      <c r="E171" s="243" t="s">
        <v>98</v>
      </c>
      <c r="F171" s="68">
        <v>50000</v>
      </c>
      <c r="G171" s="68">
        <f>F171*2.87%</f>
        <v>1435</v>
      </c>
      <c r="H171" s="68">
        <f>+F171*3.04%</f>
        <v>1520</v>
      </c>
      <c r="I171" s="68">
        <v>1919.78</v>
      </c>
      <c r="J171" s="69">
        <f>+G171+H171+I171</f>
        <v>4874.78</v>
      </c>
      <c r="K171" s="69">
        <f>+F171-J171</f>
        <v>45125.22</v>
      </c>
      <c r="L171" s="69">
        <f t="shared" si="49"/>
        <v>1566.0328749999999</v>
      </c>
      <c r="M171" s="84">
        <v>17761.62</v>
      </c>
      <c r="N171" s="220">
        <f>+M171+I171+H171+G171+L171</f>
        <v>24202.432874999999</v>
      </c>
      <c r="O171" s="239">
        <f>+F171-N171</f>
        <v>25797.567125000001</v>
      </c>
    </row>
    <row r="172" spans="1:15" s="148" customFormat="1" ht="35.1" customHeight="1" x14ac:dyDescent="0.2">
      <c r="A172" s="228" t="s">
        <v>100</v>
      </c>
      <c r="B172" s="229"/>
      <c r="C172" s="229"/>
      <c r="D172" s="229"/>
      <c r="E172" s="245"/>
      <c r="F172" s="230">
        <f>SUM(F167:F171)</f>
        <v>460000</v>
      </c>
      <c r="G172" s="230">
        <f t="shared" ref="G172:O172" si="50">SUM(G167:G171)</f>
        <v>13202</v>
      </c>
      <c r="H172" s="230">
        <f t="shared" si="50"/>
        <v>13984</v>
      </c>
      <c r="I172" s="230">
        <f t="shared" si="50"/>
        <v>3839.56</v>
      </c>
      <c r="J172" s="230">
        <f t="shared" si="50"/>
        <v>31025.559999999998</v>
      </c>
      <c r="K172" s="230">
        <f t="shared" si="50"/>
        <v>428974.43999999994</v>
      </c>
      <c r="L172" s="230">
        <f t="shared" si="50"/>
        <v>51860.087041666673</v>
      </c>
      <c r="M172" s="230">
        <f t="shared" si="50"/>
        <v>22841.62</v>
      </c>
      <c r="N172" s="230">
        <f t="shared" si="50"/>
        <v>105727.26704166667</v>
      </c>
      <c r="O172" s="230">
        <f t="shared" si="50"/>
        <v>354272.73295833333</v>
      </c>
    </row>
    <row r="173" spans="1:15" s="224" customFormat="1" ht="26.45" customHeight="1" thickBot="1" x14ac:dyDescent="0.25">
      <c r="A173" s="232"/>
      <c r="B173" s="266"/>
      <c r="C173" s="267"/>
      <c r="D173" s="266"/>
      <c r="E173" s="266"/>
      <c r="F173" s="268"/>
      <c r="G173" s="148"/>
      <c r="H173" s="148"/>
      <c r="I173" s="148"/>
      <c r="J173" s="148"/>
      <c r="K173" s="148"/>
      <c r="L173" s="148"/>
      <c r="M173" s="148"/>
      <c r="N173" s="148"/>
      <c r="O173" s="148"/>
    </row>
    <row r="174" spans="1:15" s="148" customFormat="1" ht="35.1" customHeight="1" thickBot="1" x14ac:dyDescent="0.25">
      <c r="A174" s="234" t="s">
        <v>71</v>
      </c>
      <c r="B174" s="235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5"/>
      <c r="N174" s="235"/>
      <c r="O174" s="235"/>
    </row>
    <row r="175" spans="1:15" s="246" customFormat="1" ht="35.1" customHeight="1" x14ac:dyDescent="0.2">
      <c r="A175" s="240">
        <f>+A171+1</f>
        <v>85</v>
      </c>
      <c r="B175" s="72" t="s">
        <v>57</v>
      </c>
      <c r="C175" s="73" t="s">
        <v>339</v>
      </c>
      <c r="D175" s="238" t="s">
        <v>433</v>
      </c>
      <c r="E175" s="72" t="s">
        <v>97</v>
      </c>
      <c r="F175" s="221">
        <v>120000</v>
      </c>
      <c r="G175" s="68">
        <f t="shared" ref="G175:G178" si="51">F175*2.87%</f>
        <v>3444</v>
      </c>
      <c r="H175" s="68">
        <f t="shared" ref="H175:H178" si="52">+F175*3.04%</f>
        <v>3648</v>
      </c>
      <c r="I175" s="68"/>
      <c r="J175" s="69">
        <f t="shared" ref="J175:J178" si="53">+G175+H175+I175</f>
        <v>7092</v>
      </c>
      <c r="K175" s="69">
        <f t="shared" ref="K175:K178" si="54">+F175-J175</f>
        <v>112908</v>
      </c>
      <c r="L175" s="220">
        <f t="shared" ref="L175:L178" si="55">+IF(K175*12&lt;=416220.01,0,IF(K175*12&lt;=624329.01,(((K175*12-416220.01)*0.15)/12),IF((K175*12&lt;=867123.01),(31216+0.2*(K175*12-624329.01))/12,((79776+0.25*(K175*12-867123.01))/12))))</f>
        <v>16809.937291666665</v>
      </c>
      <c r="M175" s="226">
        <v>8400.8700000000008</v>
      </c>
      <c r="N175" s="220">
        <f>+M175+I175+H175+G175+L175</f>
        <v>32302.807291666664</v>
      </c>
      <c r="O175" s="84">
        <f>+F175-N175</f>
        <v>87697.192708333343</v>
      </c>
    </row>
    <row r="176" spans="1:15" s="246" customFormat="1" ht="35.1" customHeight="1" x14ac:dyDescent="0.2">
      <c r="A176" s="240">
        <f>+A175+1</f>
        <v>86</v>
      </c>
      <c r="B176" s="243" t="s">
        <v>238</v>
      </c>
      <c r="C176" s="240" t="s">
        <v>339</v>
      </c>
      <c r="D176" s="256" t="s">
        <v>241</v>
      </c>
      <c r="E176" s="243" t="s">
        <v>97</v>
      </c>
      <c r="F176" s="68">
        <v>90000</v>
      </c>
      <c r="G176" s="68">
        <f>F176*2.87%</f>
        <v>2583</v>
      </c>
      <c r="H176" s="68">
        <f>+F176*3.04%</f>
        <v>2736</v>
      </c>
      <c r="I176" s="68">
        <v>0</v>
      </c>
      <c r="J176" s="69">
        <f>+G176+H176+I176</f>
        <v>5319</v>
      </c>
      <c r="K176" s="69">
        <f>+F176-J176</f>
        <v>84681</v>
      </c>
      <c r="L176" s="220">
        <f t="shared" si="55"/>
        <v>9753.1872916666671</v>
      </c>
      <c r="M176" s="226">
        <v>25</v>
      </c>
      <c r="N176" s="220">
        <f>+M176+I176+H176+G176+L176</f>
        <v>15097.187291666667</v>
      </c>
      <c r="O176" s="84">
        <f>+F176-N176</f>
        <v>74902.812708333338</v>
      </c>
    </row>
    <row r="177" spans="1:15" s="224" customFormat="1" ht="35.1" customHeight="1" x14ac:dyDescent="0.2">
      <c r="A177" s="240">
        <f>+A176+1</f>
        <v>87</v>
      </c>
      <c r="B177" s="72" t="s">
        <v>221</v>
      </c>
      <c r="C177" s="73" t="s">
        <v>339</v>
      </c>
      <c r="D177" s="238" t="s">
        <v>241</v>
      </c>
      <c r="E177" s="72" t="s">
        <v>97</v>
      </c>
      <c r="F177" s="221">
        <v>80000</v>
      </c>
      <c r="G177" s="68">
        <f t="shared" si="51"/>
        <v>2296</v>
      </c>
      <c r="H177" s="68">
        <f t="shared" si="52"/>
        <v>2432</v>
      </c>
      <c r="I177" s="68"/>
      <c r="J177" s="69">
        <f t="shared" si="53"/>
        <v>4728</v>
      </c>
      <c r="K177" s="69">
        <f t="shared" si="54"/>
        <v>75272</v>
      </c>
      <c r="L177" s="220">
        <f t="shared" si="55"/>
        <v>7400.9372916666662</v>
      </c>
      <c r="M177" s="226">
        <v>25</v>
      </c>
      <c r="N177" s="220">
        <f>+M177+I177+H177+G177+L177</f>
        <v>12153.937291666665</v>
      </c>
      <c r="O177" s="84">
        <f>+F177-N177</f>
        <v>67846.062708333338</v>
      </c>
    </row>
    <row r="178" spans="1:15" s="148" customFormat="1" ht="51" customHeight="1" x14ac:dyDescent="0.2">
      <c r="A178" s="218">
        <f>+A177+1</f>
        <v>88</v>
      </c>
      <c r="B178" s="72" t="s">
        <v>112</v>
      </c>
      <c r="C178" s="73" t="s">
        <v>339</v>
      </c>
      <c r="D178" s="72" t="s">
        <v>51</v>
      </c>
      <c r="E178" s="72" t="s">
        <v>193</v>
      </c>
      <c r="F178" s="221">
        <v>45000</v>
      </c>
      <c r="G178" s="221">
        <f t="shared" si="51"/>
        <v>1291.5</v>
      </c>
      <c r="H178" s="221">
        <f t="shared" si="52"/>
        <v>1368</v>
      </c>
      <c r="I178" s="68"/>
      <c r="J178" s="69">
        <f t="shared" si="53"/>
        <v>2659.5</v>
      </c>
      <c r="K178" s="69">
        <f t="shared" si="54"/>
        <v>42340.5</v>
      </c>
      <c r="L178" s="220">
        <f t="shared" si="55"/>
        <v>1148.3248749999998</v>
      </c>
      <c r="M178" s="226">
        <v>225</v>
      </c>
      <c r="N178" s="220">
        <f>+M178+I178+H178+G178+L178</f>
        <v>4032.8248749999998</v>
      </c>
      <c r="O178" s="222">
        <f>+F178-N178</f>
        <v>40967.175125000002</v>
      </c>
    </row>
    <row r="179" spans="1:15" s="148" customFormat="1" ht="41.25" customHeight="1" x14ac:dyDescent="0.2">
      <c r="A179" s="228" t="s">
        <v>100</v>
      </c>
      <c r="B179" s="229"/>
      <c r="C179" s="229"/>
      <c r="D179" s="229"/>
      <c r="E179" s="245"/>
      <c r="F179" s="230">
        <f t="shared" ref="F179:L179" si="56">SUM(F175:F178)</f>
        <v>335000</v>
      </c>
      <c r="G179" s="230">
        <f t="shared" si="56"/>
        <v>9614.5</v>
      </c>
      <c r="H179" s="230">
        <f t="shared" si="56"/>
        <v>10184</v>
      </c>
      <c r="I179" s="230">
        <f t="shared" si="56"/>
        <v>0</v>
      </c>
      <c r="J179" s="230">
        <f t="shared" si="56"/>
        <v>19798.5</v>
      </c>
      <c r="K179" s="230">
        <f t="shared" si="56"/>
        <v>315201.5</v>
      </c>
      <c r="L179" s="230">
        <f t="shared" si="56"/>
        <v>35112.386749999998</v>
      </c>
      <c r="M179" s="230">
        <f>SUM(M175:M178)</f>
        <v>8675.8700000000008</v>
      </c>
      <c r="N179" s="230">
        <f>SUM(N175:N178)</f>
        <v>63586.756749999993</v>
      </c>
      <c r="O179" s="230">
        <f>SUM(O175:O178)</f>
        <v>271413.24325</v>
      </c>
    </row>
    <row r="180" spans="1:15" s="224" customFormat="1" ht="42.75" customHeight="1" thickBot="1" x14ac:dyDescent="0.25">
      <c r="A180" s="146"/>
      <c r="B180" s="146"/>
      <c r="C180" s="146"/>
      <c r="D180" s="146"/>
      <c r="E180" s="146"/>
      <c r="F180" s="223"/>
      <c r="G180" s="223"/>
      <c r="H180" s="223"/>
      <c r="I180" s="223"/>
      <c r="J180" s="223"/>
      <c r="K180" s="223"/>
      <c r="L180" s="223"/>
      <c r="M180" s="223"/>
      <c r="N180" s="223"/>
      <c r="O180" s="223"/>
    </row>
    <row r="181" spans="1:15" s="224" customFormat="1" ht="35.1" customHeight="1" thickBot="1" x14ac:dyDescent="0.25">
      <c r="A181" s="234" t="s">
        <v>172</v>
      </c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5"/>
      <c r="N181" s="235"/>
      <c r="O181" s="235"/>
    </row>
    <row r="182" spans="1:15" s="224" customFormat="1" ht="35.1" customHeight="1" x14ac:dyDescent="0.2">
      <c r="A182" s="218">
        <f>+A178+1</f>
        <v>89</v>
      </c>
      <c r="B182" s="219" t="s">
        <v>154</v>
      </c>
      <c r="C182" s="218" t="s">
        <v>339</v>
      </c>
      <c r="D182" s="218" t="s">
        <v>243</v>
      </c>
      <c r="E182" s="219" t="s">
        <v>97</v>
      </c>
      <c r="F182" s="270">
        <v>60000</v>
      </c>
      <c r="G182" s="69">
        <f>F182*2.87%</f>
        <v>1722</v>
      </c>
      <c r="H182" s="69">
        <f>+F182*3.04%</f>
        <v>1824</v>
      </c>
      <c r="I182" s="271"/>
      <c r="J182" s="69">
        <f>+G182+H182+I182</f>
        <v>3546</v>
      </c>
      <c r="K182" s="69">
        <f>+F182-J182</f>
        <v>56454</v>
      </c>
      <c r="L182" s="69">
        <f t="shared" ref="L182" si="57">+IF(K182*12&lt;=416220.01,0,IF(K182*12&lt;=624329.01,(((K182*12-416220.01)*0.15)/12),IF((K182*12&lt;=867123.01),(31216+0.2*(K182*12-624329.01))/12,((79776+0.25*(K182*12-867123.01))/12))))</f>
        <v>3486.6498333333329</v>
      </c>
      <c r="M182" s="84">
        <v>11456.24</v>
      </c>
      <c r="N182" s="220">
        <f>+M182+I182+H182+G182+L182</f>
        <v>18488.889833333335</v>
      </c>
      <c r="O182" s="84">
        <f>+F182-N182</f>
        <v>41511.110166666665</v>
      </c>
    </row>
    <row r="183" spans="1:15" s="148" customFormat="1" ht="35.1" customHeight="1" x14ac:dyDescent="0.2">
      <c r="A183" s="228" t="s">
        <v>100</v>
      </c>
      <c r="B183" s="229"/>
      <c r="C183" s="229"/>
      <c r="D183" s="229"/>
      <c r="E183" s="245"/>
      <c r="F183" s="230">
        <f t="shared" ref="F183:L183" si="58">SUM(F182)</f>
        <v>60000</v>
      </c>
      <c r="G183" s="230">
        <f t="shared" si="58"/>
        <v>1722</v>
      </c>
      <c r="H183" s="230">
        <f t="shared" si="58"/>
        <v>1824</v>
      </c>
      <c r="I183" s="230">
        <f t="shared" si="58"/>
        <v>0</v>
      </c>
      <c r="J183" s="230">
        <f t="shared" si="58"/>
        <v>3546</v>
      </c>
      <c r="K183" s="230">
        <f t="shared" si="58"/>
        <v>56454</v>
      </c>
      <c r="L183" s="230">
        <f t="shared" si="58"/>
        <v>3486.6498333333329</v>
      </c>
      <c r="M183" s="230">
        <f>SUM(M182)</f>
        <v>11456.24</v>
      </c>
      <c r="N183" s="230">
        <f t="shared" ref="N183:O183" si="59">SUM(N182)</f>
        <v>18488.889833333335</v>
      </c>
      <c r="O183" s="230">
        <f t="shared" si="59"/>
        <v>41511.110166666665</v>
      </c>
    </row>
    <row r="184" spans="1:15" s="148" customFormat="1" ht="35.1" customHeight="1" thickBot="1" x14ac:dyDescent="0.25">
      <c r="A184" s="146"/>
      <c r="B184" s="146"/>
      <c r="C184" s="146"/>
      <c r="D184" s="146"/>
      <c r="E184" s="146"/>
      <c r="F184" s="272"/>
      <c r="G184" s="223"/>
      <c r="H184" s="223"/>
      <c r="I184" s="223"/>
      <c r="J184" s="223"/>
      <c r="K184" s="223"/>
      <c r="L184" s="223"/>
      <c r="M184" s="223"/>
      <c r="N184" s="223"/>
      <c r="O184" s="223"/>
    </row>
    <row r="185" spans="1:15" s="224" customFormat="1" ht="44.25" customHeight="1" thickBot="1" x14ac:dyDescent="0.25">
      <c r="A185" s="234" t="s">
        <v>247</v>
      </c>
      <c r="B185" s="235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5"/>
      <c r="N185" s="235"/>
      <c r="O185" s="235"/>
    </row>
    <row r="186" spans="1:15" s="224" customFormat="1" ht="36.75" customHeight="1" x14ac:dyDescent="0.2">
      <c r="A186" s="218">
        <f>+A182+1</f>
        <v>90</v>
      </c>
      <c r="B186" s="72" t="s">
        <v>8</v>
      </c>
      <c r="C186" s="73" t="s">
        <v>339</v>
      </c>
      <c r="D186" s="88" t="s">
        <v>583</v>
      </c>
      <c r="E186" s="72" t="s">
        <v>97</v>
      </c>
      <c r="F186" s="221">
        <v>170000</v>
      </c>
      <c r="G186" s="69">
        <f>F186*2.87%</f>
        <v>4879</v>
      </c>
      <c r="H186" s="69">
        <f>+F186*3.04%</f>
        <v>5168</v>
      </c>
      <c r="I186" s="69">
        <v>0</v>
      </c>
      <c r="J186" s="69">
        <f>+G186+H186+I186</f>
        <v>10047</v>
      </c>
      <c r="K186" s="69">
        <f>+F186-J186</f>
        <v>159953</v>
      </c>
      <c r="L186" s="69">
        <f t="shared" ref="L186:L187" si="60">+IF(K186*12&lt;=416220.01,0,IF(K186*12&lt;=624329.01,(((K186*12-416220.01)*0.15)/12),IF((K186*12&lt;=867123.01),(31216+0.2*(K186*12-624329.01))/12,((79776+0.25*(K186*12-867123.01))/12))))</f>
        <v>28571.187291666665</v>
      </c>
      <c r="M186" s="84">
        <v>2250.29</v>
      </c>
      <c r="N186" s="220">
        <f>+M186+I186+H186+G186+L186</f>
        <v>40868.47729166667</v>
      </c>
      <c r="O186" s="84">
        <f>+F186-N186</f>
        <v>129131.52270833333</v>
      </c>
    </row>
    <row r="187" spans="1:15" s="224" customFormat="1" ht="46.5" customHeight="1" x14ac:dyDescent="0.2">
      <c r="A187" s="240">
        <f>+A186+1</f>
        <v>91</v>
      </c>
      <c r="B187" s="243" t="s">
        <v>79</v>
      </c>
      <c r="C187" s="240" t="s">
        <v>338</v>
      </c>
      <c r="D187" s="243" t="s">
        <v>75</v>
      </c>
      <c r="E187" s="243" t="s">
        <v>98</v>
      </c>
      <c r="F187" s="68">
        <v>80000</v>
      </c>
      <c r="G187" s="68">
        <f>F187*2.87%</f>
        <v>2296</v>
      </c>
      <c r="H187" s="221">
        <f>+F187*3.04%</f>
        <v>2432</v>
      </c>
      <c r="I187" s="221">
        <v>0</v>
      </c>
      <c r="J187" s="220">
        <f>+G187+H187+I187</f>
        <v>4728</v>
      </c>
      <c r="K187" s="220">
        <f>+F187-J187</f>
        <v>75272</v>
      </c>
      <c r="L187" s="69">
        <f t="shared" si="60"/>
        <v>7400.9372916666662</v>
      </c>
      <c r="M187" s="222">
        <v>6536.01</v>
      </c>
      <c r="N187" s="220">
        <f>+M187+I187+H187+G187+L187</f>
        <v>18664.947291666667</v>
      </c>
      <c r="O187" s="222">
        <f>+F187-N187</f>
        <v>61335.052708333329</v>
      </c>
    </row>
    <row r="188" spans="1:15" s="224" customFormat="1" ht="45" customHeight="1" thickBot="1" x14ac:dyDescent="0.25">
      <c r="A188" s="228" t="s">
        <v>100</v>
      </c>
      <c r="B188" s="229"/>
      <c r="C188" s="229"/>
      <c r="D188" s="229"/>
      <c r="E188" s="245"/>
      <c r="F188" s="230">
        <f t="shared" ref="F188:L188" si="61">SUM(F186:F187)</f>
        <v>250000</v>
      </c>
      <c r="G188" s="230">
        <f t="shared" si="61"/>
        <v>7175</v>
      </c>
      <c r="H188" s="230">
        <f t="shared" si="61"/>
        <v>7600</v>
      </c>
      <c r="I188" s="230">
        <f t="shared" si="61"/>
        <v>0</v>
      </c>
      <c r="J188" s="230">
        <f t="shared" si="61"/>
        <v>14775</v>
      </c>
      <c r="K188" s="230">
        <f t="shared" si="61"/>
        <v>235225</v>
      </c>
      <c r="L188" s="230">
        <f t="shared" si="61"/>
        <v>35972.124583333331</v>
      </c>
      <c r="M188" s="230">
        <f>SUM(M186:M187)</f>
        <v>8786.2999999999993</v>
      </c>
      <c r="N188" s="230">
        <f t="shared" ref="N188:O188" si="62">SUM(N186:N187)</f>
        <v>59533.424583333341</v>
      </c>
      <c r="O188" s="230">
        <f t="shared" si="62"/>
        <v>190466.57541666666</v>
      </c>
    </row>
    <row r="189" spans="1:15" s="148" customFormat="1" ht="46.5" customHeight="1" thickBot="1" x14ac:dyDescent="0.25">
      <c r="A189" s="213" t="s">
        <v>248</v>
      </c>
      <c r="B189" s="214"/>
      <c r="C189" s="214"/>
      <c r="D189" s="214"/>
      <c r="E189" s="214"/>
      <c r="F189" s="214"/>
      <c r="G189" s="214"/>
      <c r="H189" s="214"/>
      <c r="I189" s="214"/>
      <c r="J189" s="214"/>
      <c r="K189" s="214"/>
      <c r="L189" s="214"/>
      <c r="M189" s="214"/>
      <c r="N189" s="214"/>
      <c r="O189" s="214"/>
    </row>
    <row r="190" spans="1:15" s="148" customFormat="1" ht="33" customHeight="1" x14ac:dyDescent="0.2">
      <c r="A190" s="242">
        <f>+A187+1</f>
        <v>92</v>
      </c>
      <c r="B190" s="72" t="s">
        <v>249</v>
      </c>
      <c r="C190" s="73" t="s">
        <v>338</v>
      </c>
      <c r="D190" s="72" t="s">
        <v>89</v>
      </c>
      <c r="E190" s="72" t="s">
        <v>98</v>
      </c>
      <c r="F190" s="221">
        <v>80000</v>
      </c>
      <c r="G190" s="68">
        <f>F190*2.87%</f>
        <v>2296</v>
      </c>
      <c r="H190" s="68">
        <f>+F190*3.04%</f>
        <v>2432</v>
      </c>
      <c r="I190" s="68"/>
      <c r="J190" s="69">
        <f>+G190+H190+I190</f>
        <v>4728</v>
      </c>
      <c r="K190" s="69">
        <f>+F190-J190</f>
        <v>75272</v>
      </c>
      <c r="L190" s="69">
        <f t="shared" ref="L190:L192" si="63">+IF(K190*12&lt;=416220.01,0,IF(K190*12&lt;=624329.01,(((K190*12-416220.01)*0.15)/12),IF((K190*12&lt;=867123.01),(31216+0.2*(K190*12-624329.01))/12,((79776+0.25*(K190*12-867123.01))/12))))</f>
        <v>7400.9372916666662</v>
      </c>
      <c r="M190" s="84">
        <v>28586.05</v>
      </c>
      <c r="N190" s="220">
        <f>+M190+I190+H190+G190+L190</f>
        <v>40714.987291666672</v>
      </c>
      <c r="O190" s="239">
        <f>+F190-N190</f>
        <v>39285.012708333328</v>
      </c>
    </row>
    <row r="191" spans="1:15" s="148" customFormat="1" ht="33.75" customHeight="1" x14ac:dyDescent="0.2">
      <c r="A191" s="242">
        <f>+A190+1</f>
        <v>93</v>
      </c>
      <c r="B191" s="72" t="s">
        <v>517</v>
      </c>
      <c r="C191" s="73" t="s">
        <v>339</v>
      </c>
      <c r="D191" s="72" t="s">
        <v>516</v>
      </c>
      <c r="E191" s="72" t="s">
        <v>98</v>
      </c>
      <c r="F191" s="221">
        <v>80000</v>
      </c>
      <c r="G191" s="68">
        <f>F191*2.87%</f>
        <v>2296</v>
      </c>
      <c r="H191" s="68">
        <f>+F191*3.04%</f>
        <v>2432</v>
      </c>
      <c r="I191" s="68"/>
      <c r="J191" s="69">
        <f>+G191+H191+I191</f>
        <v>4728</v>
      </c>
      <c r="K191" s="69">
        <f>+F191-J191</f>
        <v>75272</v>
      </c>
      <c r="L191" s="69">
        <f t="shared" si="63"/>
        <v>7400.9372916666662</v>
      </c>
      <c r="M191" s="84">
        <v>5090.29</v>
      </c>
      <c r="N191" s="220">
        <f>+M191+I191+H191+G191+L191</f>
        <v>17219.227291666666</v>
      </c>
      <c r="O191" s="239">
        <f>+F191-N191</f>
        <v>62780.77270833333</v>
      </c>
    </row>
    <row r="192" spans="1:15" s="148" customFormat="1" ht="33" customHeight="1" x14ac:dyDescent="0.2">
      <c r="A192" s="242">
        <f>+A191+1</f>
        <v>94</v>
      </c>
      <c r="B192" s="72" t="s">
        <v>286</v>
      </c>
      <c r="C192" s="73" t="s">
        <v>339</v>
      </c>
      <c r="D192" s="72" t="s">
        <v>520</v>
      </c>
      <c r="E192" s="72" t="s">
        <v>97</v>
      </c>
      <c r="F192" s="221">
        <v>45000</v>
      </c>
      <c r="G192" s="68">
        <f>F192*2.87%</f>
        <v>1291.5</v>
      </c>
      <c r="H192" s="68">
        <f>+F192*3.04%</f>
        <v>1368</v>
      </c>
      <c r="I192" s="68"/>
      <c r="J192" s="69">
        <f>+G192+H192+I192</f>
        <v>2659.5</v>
      </c>
      <c r="K192" s="69">
        <f>+F192-J192</f>
        <v>42340.5</v>
      </c>
      <c r="L192" s="69">
        <f t="shared" si="63"/>
        <v>1148.3248749999998</v>
      </c>
      <c r="M192" s="84">
        <v>6330.29</v>
      </c>
      <c r="N192" s="220">
        <f>+M192+I192+H192+G192+L192</f>
        <v>10138.114875000001</v>
      </c>
      <c r="O192" s="239">
        <f>+F192-N192</f>
        <v>34861.885125000001</v>
      </c>
    </row>
    <row r="193" spans="1:15" s="224" customFormat="1" ht="28.5" customHeight="1" x14ac:dyDescent="0.2">
      <c r="A193" s="228" t="s">
        <v>100</v>
      </c>
      <c r="B193" s="229"/>
      <c r="C193" s="229"/>
      <c r="D193" s="229"/>
      <c r="E193" s="245"/>
      <c r="F193" s="230">
        <f t="shared" ref="F193:O193" si="64">SUM(F190:F192)</f>
        <v>205000</v>
      </c>
      <c r="G193" s="230">
        <f t="shared" si="64"/>
        <v>5883.5</v>
      </c>
      <c r="H193" s="230">
        <f t="shared" si="64"/>
        <v>6232</v>
      </c>
      <c r="I193" s="230">
        <f t="shared" si="64"/>
        <v>0</v>
      </c>
      <c r="J193" s="230">
        <f t="shared" si="64"/>
        <v>12115.5</v>
      </c>
      <c r="K193" s="230">
        <f t="shared" si="64"/>
        <v>192884.5</v>
      </c>
      <c r="L193" s="230">
        <f t="shared" si="64"/>
        <v>15950.199458333333</v>
      </c>
      <c r="M193" s="230">
        <f t="shared" si="64"/>
        <v>40006.629999999997</v>
      </c>
      <c r="N193" s="230">
        <f t="shared" si="64"/>
        <v>68072.329458333334</v>
      </c>
      <c r="O193" s="230">
        <f t="shared" si="64"/>
        <v>136927.67054166665</v>
      </c>
    </row>
    <row r="194" spans="1:15" s="258" customFormat="1" ht="31.5" customHeight="1" thickBot="1" x14ac:dyDescent="0.25">
      <c r="A194" s="208"/>
      <c r="B194" s="147"/>
      <c r="C194" s="208"/>
      <c r="D194" s="233"/>
      <c r="E194" s="233"/>
      <c r="F194" s="148"/>
      <c r="G194" s="149"/>
      <c r="H194" s="149"/>
      <c r="I194" s="149"/>
      <c r="J194" s="149"/>
      <c r="K194" s="149"/>
      <c r="L194" s="149"/>
      <c r="M194" s="149"/>
      <c r="N194" s="149"/>
      <c r="O194" s="149"/>
    </row>
    <row r="195" spans="1:15" s="224" customFormat="1" ht="35.1" customHeight="1" thickBot="1" x14ac:dyDescent="0.25">
      <c r="A195" s="213" t="s">
        <v>250</v>
      </c>
      <c r="B195" s="214"/>
      <c r="C195" s="214"/>
      <c r="D195" s="214"/>
      <c r="E195" s="214"/>
      <c r="F195" s="214"/>
      <c r="G195" s="214"/>
      <c r="H195" s="214"/>
      <c r="I195" s="214"/>
      <c r="J195" s="214"/>
      <c r="K195" s="214"/>
      <c r="L195" s="214"/>
      <c r="M195" s="214"/>
      <c r="N195" s="214"/>
      <c r="O195" s="214"/>
    </row>
    <row r="196" spans="1:15" s="148" customFormat="1" ht="35.1" customHeight="1" x14ac:dyDescent="0.2">
      <c r="A196" s="218">
        <f>+A192+1</f>
        <v>95</v>
      </c>
      <c r="B196" s="219" t="s">
        <v>252</v>
      </c>
      <c r="C196" s="218" t="s">
        <v>339</v>
      </c>
      <c r="D196" s="225" t="s">
        <v>535</v>
      </c>
      <c r="E196" s="72" t="s">
        <v>97</v>
      </c>
      <c r="F196" s="220">
        <v>145000</v>
      </c>
      <c r="G196" s="69">
        <f>F196*2.87%</f>
        <v>4161.5</v>
      </c>
      <c r="H196" s="69">
        <f>F196*3.04%</f>
        <v>4408</v>
      </c>
      <c r="I196" s="69">
        <v>1919.78</v>
      </c>
      <c r="J196" s="69">
        <f>+G196+H196+I196</f>
        <v>10489.28</v>
      </c>
      <c r="K196" s="69">
        <f>+F196-J196</f>
        <v>134510.72</v>
      </c>
      <c r="L196" s="69">
        <f t="shared" ref="L196" si="65">+IF(K196*12&lt;=416220.01,0,IF(K196*12&lt;=624329.01,(((K196*12-416220.01)*0.15)/12),IF((K196*12&lt;=867123.01),(31216+0.2*(K196*12-624329.01))/12,((79776+0.25*(K196*12-867123.01))/12))))</f>
        <v>22210.617291666669</v>
      </c>
      <c r="M196" s="84">
        <v>25</v>
      </c>
      <c r="N196" s="69">
        <f>+M196+I196+H196+G196+L196</f>
        <v>32724.897291666668</v>
      </c>
      <c r="O196" s="69">
        <f>+F196-N196</f>
        <v>112275.10270833333</v>
      </c>
    </row>
    <row r="197" spans="1:15" s="224" customFormat="1" ht="35.1" customHeight="1" x14ac:dyDescent="0.2">
      <c r="A197" s="228" t="s">
        <v>100</v>
      </c>
      <c r="B197" s="229"/>
      <c r="C197" s="229"/>
      <c r="D197" s="229"/>
      <c r="E197" s="245"/>
      <c r="F197" s="230">
        <f t="shared" ref="F197:L197" si="66">SUM(F196:F196)</f>
        <v>145000</v>
      </c>
      <c r="G197" s="230">
        <f t="shared" si="66"/>
        <v>4161.5</v>
      </c>
      <c r="H197" s="230">
        <f t="shared" si="66"/>
        <v>4408</v>
      </c>
      <c r="I197" s="230">
        <f t="shared" si="66"/>
        <v>1919.78</v>
      </c>
      <c r="J197" s="230">
        <f t="shared" si="66"/>
        <v>10489.28</v>
      </c>
      <c r="K197" s="230">
        <f t="shared" si="66"/>
        <v>134510.72</v>
      </c>
      <c r="L197" s="230">
        <f t="shared" si="66"/>
        <v>22210.617291666669</v>
      </c>
      <c r="M197" s="230">
        <f>SUM(M196:M196)</f>
        <v>25</v>
      </c>
      <c r="N197" s="230">
        <f t="shared" ref="N197:O197" si="67">SUM(N196:N196)</f>
        <v>32724.897291666668</v>
      </c>
      <c r="O197" s="230">
        <f t="shared" si="67"/>
        <v>112275.10270833333</v>
      </c>
    </row>
    <row r="198" spans="1:15" s="148" customFormat="1" ht="35.1" customHeight="1" thickBot="1" x14ac:dyDescent="0.25">
      <c r="A198" s="146"/>
      <c r="B198" s="146"/>
      <c r="C198" s="146"/>
      <c r="D198" s="146"/>
      <c r="E198" s="146"/>
      <c r="F198" s="223"/>
      <c r="G198" s="223"/>
      <c r="H198" s="223"/>
      <c r="I198" s="223"/>
      <c r="J198" s="223"/>
      <c r="K198" s="223"/>
      <c r="L198" s="223"/>
      <c r="M198" s="223"/>
      <c r="N198" s="223"/>
      <c r="O198" s="223"/>
    </row>
    <row r="199" spans="1:15" s="148" customFormat="1" ht="35.1" customHeight="1" thickBot="1" x14ac:dyDescent="0.25">
      <c r="A199" s="234" t="s">
        <v>253</v>
      </c>
      <c r="B199" s="235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  <c r="O199" s="235"/>
    </row>
    <row r="200" spans="1:15" s="224" customFormat="1" ht="35.1" customHeight="1" x14ac:dyDescent="0.2">
      <c r="A200" s="240">
        <f>+A196+1</f>
        <v>96</v>
      </c>
      <c r="B200" s="72" t="s">
        <v>87</v>
      </c>
      <c r="C200" s="73" t="s">
        <v>339</v>
      </c>
      <c r="D200" s="72" t="s">
        <v>88</v>
      </c>
      <c r="E200" s="72" t="s">
        <v>98</v>
      </c>
      <c r="F200" s="221">
        <v>100000</v>
      </c>
      <c r="G200" s="68">
        <f>F200*2.87%</f>
        <v>2870</v>
      </c>
      <c r="H200" s="68">
        <f>+F200*3.04%</f>
        <v>3040</v>
      </c>
      <c r="I200" s="68"/>
      <c r="J200" s="69">
        <f>+G200+H200+I200</f>
        <v>5910</v>
      </c>
      <c r="K200" s="69">
        <f>+F200-J200</f>
        <v>94090</v>
      </c>
      <c r="L200" s="69">
        <f t="shared" ref="L200" si="68">+IF(K200*12&lt;=416220.01,0,IF(K200*12&lt;=624329.01,(((K200*12-416220.01)*0.15)/12),IF((K200*12&lt;=867123.01),(31216+0.2*(K200*12-624329.01))/12,((79776+0.25*(K200*12-867123.01))/12))))</f>
        <v>12105.437291666667</v>
      </c>
      <c r="M200" s="222">
        <v>25</v>
      </c>
      <c r="N200" s="220">
        <f>+M200+I200+H200+G200+L200</f>
        <v>18040.437291666669</v>
      </c>
      <c r="O200" s="69">
        <f>+F200-N200</f>
        <v>81959.562708333338</v>
      </c>
    </row>
    <row r="201" spans="1:15" s="148" customFormat="1" ht="35.1" customHeight="1" x14ac:dyDescent="0.2">
      <c r="A201" s="228" t="s">
        <v>100</v>
      </c>
      <c r="B201" s="229"/>
      <c r="C201" s="229"/>
      <c r="D201" s="229"/>
      <c r="E201" s="245"/>
      <c r="F201" s="230">
        <f>SUM(F200)</f>
        <v>100000</v>
      </c>
      <c r="G201" s="230">
        <f t="shared" ref="G201:O201" si="69">SUM(G200)</f>
        <v>2870</v>
      </c>
      <c r="H201" s="230">
        <f t="shared" si="69"/>
        <v>3040</v>
      </c>
      <c r="I201" s="230">
        <f t="shared" si="69"/>
        <v>0</v>
      </c>
      <c r="J201" s="230">
        <f t="shared" si="69"/>
        <v>5910</v>
      </c>
      <c r="K201" s="230">
        <f t="shared" si="69"/>
        <v>94090</v>
      </c>
      <c r="L201" s="230">
        <f t="shared" si="69"/>
        <v>12105.437291666667</v>
      </c>
      <c r="M201" s="230">
        <f t="shared" si="69"/>
        <v>25</v>
      </c>
      <c r="N201" s="230">
        <f t="shared" si="69"/>
        <v>18040.437291666669</v>
      </c>
      <c r="O201" s="230">
        <f t="shared" si="69"/>
        <v>81959.562708333338</v>
      </c>
    </row>
    <row r="202" spans="1:15" s="148" customFormat="1" ht="35.1" customHeight="1" thickBot="1" x14ac:dyDescent="0.25">
      <c r="A202" s="232"/>
      <c r="B202" s="266"/>
      <c r="C202" s="267"/>
      <c r="D202" s="266"/>
      <c r="E202" s="266"/>
      <c r="F202" s="268"/>
    </row>
    <row r="203" spans="1:15" s="148" customFormat="1" ht="35.1" customHeight="1" x14ac:dyDescent="0.2">
      <c r="A203" s="273" t="s">
        <v>173</v>
      </c>
      <c r="B203" s="274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</row>
    <row r="204" spans="1:15" s="148" customFormat="1" ht="35.1" customHeight="1" x14ac:dyDescent="0.2">
      <c r="A204" s="73">
        <f>+A200+1</f>
        <v>97</v>
      </c>
      <c r="B204" s="72" t="s">
        <v>521</v>
      </c>
      <c r="C204" s="73" t="s">
        <v>339</v>
      </c>
      <c r="D204" s="72" t="s">
        <v>522</v>
      </c>
      <c r="E204" s="269" t="s">
        <v>193</v>
      </c>
      <c r="F204" s="221">
        <v>60000</v>
      </c>
      <c r="G204" s="221">
        <f>F204*2.87%</f>
        <v>1722</v>
      </c>
      <c r="H204" s="221">
        <f>+F204*3.04%</f>
        <v>1824</v>
      </c>
      <c r="I204" s="221">
        <v>1919.78</v>
      </c>
      <c r="J204" s="220">
        <f>+G204+H204+I204</f>
        <v>5465.78</v>
      </c>
      <c r="K204" s="220">
        <f>+F204-J204</f>
        <v>54534.22</v>
      </c>
      <c r="L204" s="69">
        <f t="shared" ref="L204:L206" si="70">+IF(K204*12&lt;=416220.01,0,IF(K204*12&lt;=624329.01,(((K204*12-416220.01)*0.15)/12),IF((K204*12&lt;=867123.01),(31216+0.2*(K204*12-624329.01))/12,((79776+0.25*(K204*12-867123.01))/12))))</f>
        <v>3102.6938333333333</v>
      </c>
      <c r="M204" s="222">
        <v>7756.36</v>
      </c>
      <c r="N204" s="220">
        <f>+M204+I204+H204+G204+L204</f>
        <v>16324.833833333332</v>
      </c>
      <c r="O204" s="69">
        <f>+F204-N204</f>
        <v>43675.16616666667</v>
      </c>
    </row>
    <row r="205" spans="1:15" s="224" customFormat="1" ht="35.1" customHeight="1" x14ac:dyDescent="0.2">
      <c r="A205" s="73">
        <f>+A204+1</f>
        <v>98</v>
      </c>
      <c r="B205" s="72" t="s">
        <v>445</v>
      </c>
      <c r="C205" s="73" t="s">
        <v>339</v>
      </c>
      <c r="D205" s="72" t="s">
        <v>13</v>
      </c>
      <c r="E205" s="269" t="s">
        <v>193</v>
      </c>
      <c r="F205" s="221">
        <v>45000</v>
      </c>
      <c r="G205" s="221">
        <f>F205*2.87%</f>
        <v>1291.5</v>
      </c>
      <c r="H205" s="221">
        <f>+F205*3.04%</f>
        <v>1368</v>
      </c>
      <c r="I205" s="221"/>
      <c r="J205" s="220">
        <f>+G205+H205+I205</f>
        <v>2659.5</v>
      </c>
      <c r="K205" s="220">
        <f t="shared" ref="K205" si="71">+F205-J205</f>
        <v>42340.5</v>
      </c>
      <c r="L205" s="69">
        <f t="shared" si="70"/>
        <v>1148.3248749999998</v>
      </c>
      <c r="M205" s="222">
        <v>4104.92</v>
      </c>
      <c r="N205" s="220">
        <f>+M205+I205+H205+G205+L205</f>
        <v>7912.7448750000003</v>
      </c>
      <c r="O205" s="69">
        <f>+F205-N205</f>
        <v>37087.255124999996</v>
      </c>
    </row>
    <row r="206" spans="1:15" s="148" customFormat="1" ht="35.1" customHeight="1" x14ac:dyDescent="0.2">
      <c r="A206" s="73">
        <v>97</v>
      </c>
      <c r="B206" s="72" t="s">
        <v>617</v>
      </c>
      <c r="C206" s="73" t="s">
        <v>339</v>
      </c>
      <c r="D206" s="72" t="s">
        <v>484</v>
      </c>
      <c r="E206" s="269" t="s">
        <v>193</v>
      </c>
      <c r="F206" s="221">
        <v>38000</v>
      </c>
      <c r="G206" s="221">
        <f>F206*2.87%</f>
        <v>1090.5999999999999</v>
      </c>
      <c r="H206" s="221">
        <f>+F206*3.04%</f>
        <v>1155.2</v>
      </c>
      <c r="I206" s="221">
        <v>1919.78</v>
      </c>
      <c r="J206" s="220">
        <f>+G206+H206+I206</f>
        <v>4165.58</v>
      </c>
      <c r="K206" s="220">
        <f>+F206-J206</f>
        <v>33834.42</v>
      </c>
      <c r="L206" s="69">
        <f t="shared" si="70"/>
        <v>0</v>
      </c>
      <c r="M206" s="222">
        <v>25</v>
      </c>
      <c r="N206" s="220">
        <f>+M206+I206+H206+G206+L206</f>
        <v>4190.58</v>
      </c>
      <c r="O206" s="69">
        <f>+F206-N206</f>
        <v>33809.42</v>
      </c>
    </row>
    <row r="207" spans="1:15" s="148" customFormat="1" ht="33" customHeight="1" x14ac:dyDescent="0.2">
      <c r="A207" s="228" t="s">
        <v>100</v>
      </c>
      <c r="B207" s="229"/>
      <c r="C207" s="229"/>
      <c r="D207" s="229"/>
      <c r="E207" s="245"/>
      <c r="F207" s="230">
        <f t="shared" ref="F207:O207" si="72">SUM(F204:F206)</f>
        <v>143000</v>
      </c>
      <c r="G207" s="230">
        <f t="shared" si="72"/>
        <v>4104.1000000000004</v>
      </c>
      <c r="H207" s="230">
        <f t="shared" si="72"/>
        <v>4347.2</v>
      </c>
      <c r="I207" s="230">
        <f t="shared" si="72"/>
        <v>3839.56</v>
      </c>
      <c r="J207" s="230">
        <f t="shared" si="72"/>
        <v>12290.86</v>
      </c>
      <c r="K207" s="230">
        <f t="shared" si="72"/>
        <v>130709.14</v>
      </c>
      <c r="L207" s="230">
        <f t="shared" si="72"/>
        <v>4251.0187083333331</v>
      </c>
      <c r="M207" s="230">
        <f t="shared" si="72"/>
        <v>11886.279999999999</v>
      </c>
      <c r="N207" s="230">
        <f t="shared" si="72"/>
        <v>28428.158708333336</v>
      </c>
      <c r="O207" s="230">
        <f t="shared" si="72"/>
        <v>114571.84129166666</v>
      </c>
    </row>
    <row r="208" spans="1:15" s="224" customFormat="1" ht="35.1" customHeight="1" thickBot="1" x14ac:dyDescent="0.25">
      <c r="A208" s="275"/>
      <c r="B208" s="276"/>
      <c r="C208" s="146"/>
      <c r="D208" s="277"/>
      <c r="E208" s="277"/>
      <c r="F208" s="231"/>
      <c r="G208" s="231"/>
      <c r="H208" s="231"/>
      <c r="I208" s="231"/>
      <c r="J208" s="231"/>
      <c r="K208" s="231"/>
      <c r="L208" s="231"/>
      <c r="M208" s="231"/>
      <c r="N208" s="231"/>
      <c r="O208" s="231"/>
    </row>
    <row r="209" spans="1:15" s="223" customFormat="1" ht="35.1" customHeight="1" thickBot="1" x14ac:dyDescent="0.25">
      <c r="A209" s="234" t="s">
        <v>65</v>
      </c>
      <c r="B209" s="235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5"/>
      <c r="N209" s="235"/>
      <c r="O209" s="235"/>
    </row>
    <row r="210" spans="1:15" s="224" customFormat="1" ht="35.1" customHeight="1" x14ac:dyDescent="0.2">
      <c r="A210" s="240">
        <f>+A206+1</f>
        <v>98</v>
      </c>
      <c r="B210" s="72" t="s">
        <v>7</v>
      </c>
      <c r="C210" s="73" t="s">
        <v>339</v>
      </c>
      <c r="D210" s="72" t="s">
        <v>73</v>
      </c>
      <c r="E210" s="72" t="s">
        <v>98</v>
      </c>
      <c r="F210" s="221">
        <v>60000</v>
      </c>
      <c r="G210" s="221">
        <f>F210*2.87%</f>
        <v>1722</v>
      </c>
      <c r="H210" s="68">
        <f>+F210*3.04%</f>
        <v>1824</v>
      </c>
      <c r="I210" s="68"/>
      <c r="J210" s="69">
        <f>+G210+H210+I210</f>
        <v>3546</v>
      </c>
      <c r="K210" s="69">
        <f>+F210-J210</f>
        <v>56454</v>
      </c>
      <c r="L210" s="69">
        <f t="shared" ref="L210" si="73">+IF(K210*12&lt;=416220.01,0,IF(K210*12&lt;=624329.01,(((K210*12-416220.01)*0.15)/12),IF((K210*12&lt;=867123.01),(31216+0.2*(K210*12-624329.01))/12,((79776+0.25*(K210*12-867123.01))/12))))</f>
        <v>3486.6498333333329</v>
      </c>
      <c r="M210" s="68">
        <v>2790.29</v>
      </c>
      <c r="N210" s="220">
        <f>+M210+I210+H210+G210+L210</f>
        <v>9822.9398333333338</v>
      </c>
      <c r="O210" s="69">
        <f>+F210-N210</f>
        <v>50177.060166666663</v>
      </c>
    </row>
    <row r="211" spans="1:15" s="148" customFormat="1" ht="35.25" customHeight="1" x14ac:dyDescent="0.2">
      <c r="A211" s="228" t="s">
        <v>100</v>
      </c>
      <c r="B211" s="229"/>
      <c r="C211" s="229"/>
      <c r="D211" s="229"/>
      <c r="E211" s="245"/>
      <c r="F211" s="230">
        <f>SUM(F210:F210)</f>
        <v>60000</v>
      </c>
      <c r="G211" s="230">
        <f t="shared" ref="G211:O211" si="74">SUM(G210:G210)</f>
        <v>1722</v>
      </c>
      <c r="H211" s="230">
        <f t="shared" si="74"/>
        <v>1824</v>
      </c>
      <c r="I211" s="230">
        <f t="shared" si="74"/>
        <v>0</v>
      </c>
      <c r="J211" s="230">
        <f t="shared" si="74"/>
        <v>3546</v>
      </c>
      <c r="K211" s="230">
        <f>SUM(K210:K210)</f>
        <v>56454</v>
      </c>
      <c r="L211" s="230">
        <f t="shared" si="74"/>
        <v>3486.6498333333329</v>
      </c>
      <c r="M211" s="230">
        <f t="shared" si="74"/>
        <v>2790.29</v>
      </c>
      <c r="N211" s="230">
        <f t="shared" si="74"/>
        <v>9822.9398333333338</v>
      </c>
      <c r="O211" s="230">
        <f t="shared" si="74"/>
        <v>50177.060166666663</v>
      </c>
    </row>
    <row r="212" spans="1:15" s="224" customFormat="1" ht="35.1" customHeight="1" thickBot="1" x14ac:dyDescent="0.25">
      <c r="A212" s="146"/>
      <c r="B212" s="146"/>
      <c r="C212" s="146"/>
      <c r="D212" s="146"/>
      <c r="E212" s="146"/>
      <c r="F212" s="223"/>
      <c r="G212" s="223"/>
      <c r="H212" s="223"/>
      <c r="I212" s="223"/>
      <c r="J212" s="223"/>
      <c r="K212" s="223"/>
      <c r="L212" s="223"/>
      <c r="M212" s="223"/>
      <c r="N212" s="223"/>
      <c r="O212" s="223"/>
    </row>
    <row r="213" spans="1:15" s="148" customFormat="1" ht="35.1" customHeight="1" thickBot="1" x14ac:dyDescent="0.25">
      <c r="A213" s="234" t="s">
        <v>146</v>
      </c>
      <c r="B213" s="235"/>
      <c r="C213" s="235"/>
      <c r="D213" s="235"/>
      <c r="E213" s="235"/>
      <c r="F213" s="235"/>
      <c r="G213" s="235"/>
      <c r="H213" s="235"/>
      <c r="I213" s="235"/>
      <c r="J213" s="235"/>
      <c r="K213" s="235"/>
      <c r="L213" s="235"/>
      <c r="M213" s="235"/>
      <c r="N213" s="235"/>
      <c r="O213" s="235"/>
    </row>
    <row r="214" spans="1:15" s="148" customFormat="1" ht="35.1" customHeight="1" x14ac:dyDescent="0.2">
      <c r="A214" s="73">
        <f>+A210+1</f>
        <v>99</v>
      </c>
      <c r="B214" s="72" t="s">
        <v>396</v>
      </c>
      <c r="C214" s="73" t="s">
        <v>338</v>
      </c>
      <c r="D214" s="72" t="s">
        <v>165</v>
      </c>
      <c r="E214" s="72" t="s">
        <v>193</v>
      </c>
      <c r="F214" s="221">
        <v>60000</v>
      </c>
      <c r="G214" s="221">
        <f>F214*2.87%</f>
        <v>1722</v>
      </c>
      <c r="H214" s="221">
        <f>+F214*3.04%</f>
        <v>1824</v>
      </c>
      <c r="I214" s="221"/>
      <c r="J214" s="69">
        <f>+G214+H214+I214</f>
        <v>3546</v>
      </c>
      <c r="K214" s="69">
        <f>+F214-J214</f>
        <v>56454</v>
      </c>
      <c r="L214" s="69">
        <f t="shared" ref="L214" si="75">+IF(K214*12&lt;=416220.01,0,IF(K214*12&lt;=624329.01,(((K214*12-416220.01)*0.15)/12),IF((K214*12&lt;=867123.01),(31216+0.2*(K214*12-624329.01))/12,((79776+0.25*(K214*12-867123.01))/12))))</f>
        <v>3486.6498333333329</v>
      </c>
      <c r="M214" s="239">
        <v>225</v>
      </c>
      <c r="N214" s="220">
        <f>+M214+I214+H214+G214+L214</f>
        <v>7257.6498333333329</v>
      </c>
      <c r="O214" s="220">
        <f>+F214-N214</f>
        <v>52742.350166666671</v>
      </c>
    </row>
    <row r="215" spans="1:15" s="148" customFormat="1" ht="35.1" customHeight="1" x14ac:dyDescent="0.2">
      <c r="A215" s="228" t="s">
        <v>100</v>
      </c>
      <c r="B215" s="229"/>
      <c r="C215" s="229"/>
      <c r="D215" s="229"/>
      <c r="E215" s="245"/>
      <c r="F215" s="230">
        <f t="shared" ref="F215:L215" si="76">SUM(F214:F214)</f>
        <v>60000</v>
      </c>
      <c r="G215" s="230">
        <f t="shared" si="76"/>
        <v>1722</v>
      </c>
      <c r="H215" s="230">
        <f t="shared" si="76"/>
        <v>1824</v>
      </c>
      <c r="I215" s="230">
        <f t="shared" si="76"/>
        <v>0</v>
      </c>
      <c r="J215" s="230">
        <f t="shared" si="76"/>
        <v>3546</v>
      </c>
      <c r="K215" s="230">
        <f t="shared" si="76"/>
        <v>56454</v>
      </c>
      <c r="L215" s="230">
        <f t="shared" si="76"/>
        <v>3486.6498333333329</v>
      </c>
      <c r="M215" s="230">
        <f>SUM(M214:M214)</f>
        <v>225</v>
      </c>
      <c r="N215" s="230">
        <f t="shared" ref="N215:O215" si="77">SUM(N214:N214)</f>
        <v>7257.6498333333329</v>
      </c>
      <c r="O215" s="230">
        <f t="shared" si="77"/>
        <v>52742.350166666671</v>
      </c>
    </row>
    <row r="216" spans="1:15" s="224" customFormat="1" ht="35.1" customHeight="1" thickBot="1" x14ac:dyDescent="0.25">
      <c r="A216" s="208"/>
      <c r="B216" s="147"/>
      <c r="C216" s="208"/>
      <c r="D216" s="147"/>
      <c r="E216" s="147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</row>
    <row r="217" spans="1:15" s="258" customFormat="1" ht="35.1" customHeight="1" thickBot="1" x14ac:dyDescent="0.25">
      <c r="A217" s="234" t="s">
        <v>147</v>
      </c>
      <c r="B217" s="235"/>
      <c r="C217" s="235"/>
      <c r="D217" s="235"/>
      <c r="E217" s="235"/>
      <c r="F217" s="235"/>
      <c r="G217" s="235"/>
      <c r="H217" s="235"/>
      <c r="I217" s="235"/>
      <c r="J217" s="235"/>
      <c r="K217" s="235"/>
      <c r="L217" s="235"/>
      <c r="M217" s="235"/>
      <c r="N217" s="235"/>
      <c r="O217" s="235"/>
    </row>
    <row r="218" spans="1:15" s="258" customFormat="1" ht="35.1" customHeight="1" x14ac:dyDescent="0.2">
      <c r="A218" s="240">
        <f>+A214+1</f>
        <v>100</v>
      </c>
      <c r="B218" s="72" t="s">
        <v>160</v>
      </c>
      <c r="C218" s="73" t="s">
        <v>338</v>
      </c>
      <c r="D218" s="72" t="s">
        <v>6</v>
      </c>
      <c r="E218" s="72" t="s">
        <v>98</v>
      </c>
      <c r="F218" s="221">
        <v>80000</v>
      </c>
      <c r="G218" s="221">
        <f>F218*2.87%</f>
        <v>2296</v>
      </c>
      <c r="H218" s="68">
        <f>+F218*3.04%</f>
        <v>2432</v>
      </c>
      <c r="I218" s="68"/>
      <c r="J218" s="69">
        <f>+G218+H218+I218</f>
        <v>4728</v>
      </c>
      <c r="K218" s="69">
        <f>+F218-J218</f>
        <v>75272</v>
      </c>
      <c r="L218" s="69">
        <f t="shared" ref="L218:L220" si="78">+IF(K218*12&lt;=416220.01,0,IF(K218*12&lt;=624329.01,(((K218*12-416220.01)*0.15)/12),IF((K218*12&lt;=867123.01),(31216+0.2*(K218*12-624329.01))/12,((79776+0.25*(K218*12-867123.01))/12))))</f>
        <v>7400.9372916666662</v>
      </c>
      <c r="M218" s="84">
        <v>3521.07</v>
      </c>
      <c r="N218" s="220">
        <f>+M218+I218+H218+G218+L218</f>
        <v>15650.007291666665</v>
      </c>
      <c r="O218" s="84">
        <f>+F218-N218</f>
        <v>64349.992708333331</v>
      </c>
    </row>
    <row r="219" spans="1:15" s="148" customFormat="1" ht="35.1" customHeight="1" x14ac:dyDescent="0.2">
      <c r="A219" s="242">
        <f>+A218+1</f>
        <v>101</v>
      </c>
      <c r="B219" s="219" t="s">
        <v>254</v>
      </c>
      <c r="C219" s="218" t="s">
        <v>338</v>
      </c>
      <c r="D219" s="219" t="s">
        <v>165</v>
      </c>
      <c r="E219" s="219" t="s">
        <v>193</v>
      </c>
      <c r="F219" s="220">
        <v>60000</v>
      </c>
      <c r="G219" s="220">
        <f>F219*2.87%</f>
        <v>1722</v>
      </c>
      <c r="H219" s="69">
        <f>+F219*3.04%</f>
        <v>1824</v>
      </c>
      <c r="I219" s="69"/>
      <c r="J219" s="69">
        <f>+G219+H219+I219</f>
        <v>3546</v>
      </c>
      <c r="K219" s="69">
        <f t="shared" ref="K219:K220" si="79">+F219-J219</f>
        <v>56454</v>
      </c>
      <c r="L219" s="69">
        <f t="shared" si="78"/>
        <v>3486.6498333333329</v>
      </c>
      <c r="M219" s="84">
        <v>225</v>
      </c>
      <c r="N219" s="220">
        <f>+M219+I219+H219+G219+L219</f>
        <v>7257.6498333333329</v>
      </c>
      <c r="O219" s="69">
        <f>+F219-N219</f>
        <v>52742.350166666671</v>
      </c>
    </row>
    <row r="220" spans="1:15" s="148" customFormat="1" ht="35.1" customHeight="1" x14ac:dyDescent="0.2">
      <c r="A220" s="278">
        <f>+A219+1</f>
        <v>102</v>
      </c>
      <c r="B220" s="243" t="s">
        <v>500</v>
      </c>
      <c r="C220" s="279" t="s">
        <v>339</v>
      </c>
      <c r="D220" s="244" t="s">
        <v>186</v>
      </c>
      <c r="E220" s="250" t="s">
        <v>193</v>
      </c>
      <c r="F220" s="69">
        <v>70000</v>
      </c>
      <c r="G220" s="220">
        <f>F220*2.87%</f>
        <v>2009</v>
      </c>
      <c r="H220" s="69">
        <f>+F220*3.04%</f>
        <v>2128</v>
      </c>
      <c r="I220" s="69">
        <v>1919.78</v>
      </c>
      <c r="J220" s="69">
        <f>+G220+H220+I220</f>
        <v>6056.78</v>
      </c>
      <c r="K220" s="69">
        <f t="shared" si="79"/>
        <v>63943.22</v>
      </c>
      <c r="L220" s="69">
        <f t="shared" si="78"/>
        <v>4984.4938333333339</v>
      </c>
      <c r="M220" s="84">
        <v>25</v>
      </c>
      <c r="N220" s="220">
        <f>+M220+I220+H220+G220+L220</f>
        <v>11066.273833333333</v>
      </c>
      <c r="O220" s="69">
        <f>+F220-N220</f>
        <v>58933.726166666667</v>
      </c>
    </row>
    <row r="221" spans="1:15" s="224" customFormat="1" ht="35.1" customHeight="1" x14ac:dyDescent="0.2">
      <c r="A221" s="228" t="s">
        <v>100</v>
      </c>
      <c r="B221" s="229"/>
      <c r="C221" s="229"/>
      <c r="D221" s="229"/>
      <c r="E221" s="245"/>
      <c r="F221" s="230">
        <f>SUM(F218:F220)</f>
        <v>210000</v>
      </c>
      <c r="G221" s="230">
        <f t="shared" ref="G221:O221" si="80">SUM(G218:G220)</f>
        <v>6027</v>
      </c>
      <c r="H221" s="230">
        <f t="shared" si="80"/>
        <v>6384</v>
      </c>
      <c r="I221" s="230">
        <f t="shared" si="80"/>
        <v>1919.78</v>
      </c>
      <c r="J221" s="230">
        <f t="shared" si="80"/>
        <v>14330.779999999999</v>
      </c>
      <c r="K221" s="230">
        <f>SUM(K218:K220)</f>
        <v>195669.22</v>
      </c>
      <c r="L221" s="230">
        <f t="shared" si="80"/>
        <v>15872.080958333332</v>
      </c>
      <c r="M221" s="230">
        <f t="shared" si="80"/>
        <v>3771.07</v>
      </c>
      <c r="N221" s="230">
        <f t="shared" si="80"/>
        <v>33973.930958333331</v>
      </c>
      <c r="O221" s="230">
        <f t="shared" si="80"/>
        <v>176026.06904166666</v>
      </c>
    </row>
    <row r="222" spans="1:15" s="224" customFormat="1" ht="22.9" customHeight="1" thickBot="1" x14ac:dyDescent="0.25">
      <c r="A222" s="208"/>
      <c r="B222" s="147"/>
      <c r="C222" s="208"/>
      <c r="D222" s="147"/>
      <c r="E222" s="147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</row>
    <row r="223" spans="1:15" s="224" customFormat="1" ht="35.1" customHeight="1" thickBot="1" x14ac:dyDescent="0.25">
      <c r="A223" s="345" t="s">
        <v>255</v>
      </c>
      <c r="B223" s="346"/>
      <c r="C223" s="346"/>
      <c r="D223" s="346"/>
      <c r="E223" s="252"/>
      <c r="F223" s="252"/>
      <c r="G223" s="252"/>
      <c r="H223" s="252"/>
      <c r="I223" s="252"/>
      <c r="J223" s="252"/>
      <c r="K223" s="252"/>
      <c r="L223" s="252"/>
      <c r="M223" s="252"/>
      <c r="N223" s="252"/>
      <c r="O223" s="252"/>
    </row>
    <row r="224" spans="1:15" s="148" customFormat="1" ht="35.1" customHeight="1" thickBot="1" x14ac:dyDescent="0.25">
      <c r="A224" s="213" t="s">
        <v>256</v>
      </c>
      <c r="B224" s="214"/>
      <c r="C224" s="214"/>
      <c r="D224" s="214"/>
      <c r="E224" s="214"/>
      <c r="F224" s="214"/>
      <c r="G224" s="214"/>
      <c r="H224" s="214"/>
      <c r="I224" s="214"/>
      <c r="J224" s="214"/>
      <c r="K224" s="214"/>
      <c r="L224" s="214"/>
      <c r="M224" s="297"/>
      <c r="N224" s="214"/>
      <c r="O224" s="214"/>
    </row>
    <row r="225" spans="1:15" s="224" customFormat="1" ht="35.1" customHeight="1" x14ac:dyDescent="0.2">
      <c r="A225" s="240">
        <f>+A220+1</f>
        <v>103</v>
      </c>
      <c r="B225" s="72" t="s">
        <v>10</v>
      </c>
      <c r="C225" s="73" t="s">
        <v>338</v>
      </c>
      <c r="D225" s="88" t="s">
        <v>257</v>
      </c>
      <c r="E225" s="72" t="s">
        <v>98</v>
      </c>
      <c r="F225" s="68">
        <v>70000</v>
      </c>
      <c r="G225" s="68">
        <f>F225*2.87%</f>
        <v>2009</v>
      </c>
      <c r="H225" s="68">
        <f>+F225*3.04%</f>
        <v>2128</v>
      </c>
      <c r="I225" s="68"/>
      <c r="J225" s="69">
        <f>+G225+H225+I225</f>
        <v>4137</v>
      </c>
      <c r="K225" s="69">
        <f>+F225-J225</f>
        <v>65863</v>
      </c>
      <c r="L225" s="69">
        <f t="shared" ref="L225" si="81">+IF(K225*12&lt;=416220.01,0,IF(K225*12&lt;=624329.01,(((K225*12-416220.01)*0.15)/12),IF((K225*12&lt;=867123.01),(31216+0.2*(K225*12-624329.01))/12,((79776+0.25*(K225*12-867123.01))/12))))</f>
        <v>5368.4498333333331</v>
      </c>
      <c r="M225" s="222">
        <v>21546.44</v>
      </c>
      <c r="N225" s="220">
        <f>+M225+I225+H225+G225+L225</f>
        <v>31051.889833333331</v>
      </c>
      <c r="O225" s="84">
        <f>+F225-N225</f>
        <v>38948.110166666665</v>
      </c>
    </row>
    <row r="226" spans="1:15" s="148" customFormat="1" ht="35.1" customHeight="1" x14ac:dyDescent="0.2">
      <c r="A226" s="228" t="s">
        <v>100</v>
      </c>
      <c r="B226" s="229"/>
      <c r="C226" s="229"/>
      <c r="D226" s="229"/>
      <c r="E226" s="245"/>
      <c r="F226" s="230">
        <f t="shared" ref="F226:L226" si="82">SUM(F225:F225)</f>
        <v>70000</v>
      </c>
      <c r="G226" s="230">
        <f t="shared" si="82"/>
        <v>2009</v>
      </c>
      <c r="H226" s="230">
        <f t="shared" si="82"/>
        <v>2128</v>
      </c>
      <c r="I226" s="230">
        <f t="shared" si="82"/>
        <v>0</v>
      </c>
      <c r="J226" s="230">
        <f t="shared" si="82"/>
        <v>4137</v>
      </c>
      <c r="K226" s="230">
        <f t="shared" si="82"/>
        <v>65863</v>
      </c>
      <c r="L226" s="230">
        <f t="shared" si="82"/>
        <v>5368.4498333333331</v>
      </c>
      <c r="M226" s="230">
        <f>SUM(M225:M225)</f>
        <v>21546.44</v>
      </c>
      <c r="N226" s="230">
        <f>SUM(N225:N225)</f>
        <v>31051.889833333331</v>
      </c>
      <c r="O226" s="230">
        <f>SUM(O225:O225)</f>
        <v>38948.110166666665</v>
      </c>
    </row>
    <row r="227" spans="1:15" s="148" customFormat="1" ht="35.1" customHeight="1" thickBot="1" x14ac:dyDescent="0.25">
      <c r="A227" s="146"/>
      <c r="B227" s="146"/>
      <c r="C227" s="146"/>
      <c r="D227" s="146"/>
      <c r="E227" s="146"/>
      <c r="F227" s="223"/>
      <c r="G227" s="223"/>
      <c r="H227" s="223"/>
      <c r="I227" s="223"/>
      <c r="J227" s="223"/>
      <c r="K227" s="223"/>
      <c r="L227" s="223"/>
      <c r="M227" s="223"/>
      <c r="N227" s="223"/>
      <c r="O227" s="223"/>
    </row>
    <row r="228" spans="1:15" s="148" customFormat="1" ht="35.1" customHeight="1" thickBot="1" x14ac:dyDescent="0.25">
      <c r="A228" s="213" t="s">
        <v>259</v>
      </c>
      <c r="B228" s="214"/>
      <c r="C228" s="214"/>
      <c r="D228" s="214"/>
      <c r="E228" s="214"/>
      <c r="F228" s="214"/>
      <c r="G228" s="214"/>
      <c r="H228" s="214"/>
      <c r="I228" s="214"/>
      <c r="J228" s="214"/>
      <c r="K228" s="214"/>
      <c r="L228" s="214"/>
      <c r="M228" s="214"/>
      <c r="N228" s="214"/>
      <c r="O228" s="214"/>
    </row>
    <row r="229" spans="1:15" s="148" customFormat="1" ht="35.1" customHeight="1" x14ac:dyDescent="0.2">
      <c r="A229" s="240">
        <f>+A225+1</f>
        <v>104</v>
      </c>
      <c r="B229" s="72" t="s">
        <v>258</v>
      </c>
      <c r="C229" s="73" t="s">
        <v>338</v>
      </c>
      <c r="D229" s="88" t="s">
        <v>74</v>
      </c>
      <c r="E229" s="72" t="s">
        <v>98</v>
      </c>
      <c r="F229" s="221">
        <v>95000</v>
      </c>
      <c r="G229" s="221">
        <f>F229*2.87%</f>
        <v>2726.5</v>
      </c>
      <c r="H229" s="221">
        <f>+F229*3.04%</f>
        <v>2888</v>
      </c>
      <c r="I229" s="68">
        <v>1919.78</v>
      </c>
      <c r="J229" s="69">
        <f t="shared" ref="J229:J288" si="83">+G229+H229+I229</f>
        <v>7534.28</v>
      </c>
      <c r="K229" s="69">
        <f>+F229-J229</f>
        <v>87465.72</v>
      </c>
      <c r="L229" s="69">
        <f t="shared" ref="L229" si="84">+IF(K229*12&lt;=416220.01,0,IF(K229*12&lt;=624329.01,(((K229*12-416220.01)*0.15)/12),IF((K229*12&lt;=867123.01),(31216+0.2*(K229*12-624329.01))/12,((79776+0.25*(K229*12-867123.01))/12))))</f>
        <v>10449.367291666669</v>
      </c>
      <c r="M229" s="84">
        <v>225</v>
      </c>
      <c r="N229" s="220">
        <f>+M229+I229+H229+G229+L229</f>
        <v>18208.647291666668</v>
      </c>
      <c r="O229" s="84">
        <f>+F229-N229</f>
        <v>76791.352708333332</v>
      </c>
    </row>
    <row r="230" spans="1:15" s="148" customFormat="1" ht="35.1" customHeight="1" x14ac:dyDescent="0.2">
      <c r="A230" s="228" t="s">
        <v>100</v>
      </c>
      <c r="B230" s="229"/>
      <c r="C230" s="229"/>
      <c r="D230" s="229"/>
      <c r="E230" s="245"/>
      <c r="F230" s="230">
        <f t="shared" ref="F230:L230" si="85">SUM(F229:F229)</f>
        <v>95000</v>
      </c>
      <c r="G230" s="230">
        <f t="shared" si="85"/>
        <v>2726.5</v>
      </c>
      <c r="H230" s="230">
        <f t="shared" si="85"/>
        <v>2888</v>
      </c>
      <c r="I230" s="230">
        <f t="shared" si="85"/>
        <v>1919.78</v>
      </c>
      <c r="J230" s="230">
        <f t="shared" si="85"/>
        <v>7534.28</v>
      </c>
      <c r="K230" s="230">
        <f t="shared" si="85"/>
        <v>87465.72</v>
      </c>
      <c r="L230" s="230">
        <f t="shared" si="85"/>
        <v>10449.367291666669</v>
      </c>
      <c r="M230" s="230">
        <f>SUM(M229:M229)</f>
        <v>225</v>
      </c>
      <c r="N230" s="230">
        <f t="shared" ref="N230:O230" si="86">SUM(N229:N229)</f>
        <v>18208.647291666668</v>
      </c>
      <c r="O230" s="230">
        <f t="shared" si="86"/>
        <v>76791.352708333332</v>
      </c>
    </row>
    <row r="231" spans="1:15" s="148" customFormat="1" ht="35.1" customHeight="1" thickBot="1" x14ac:dyDescent="0.25">
      <c r="A231" s="146"/>
      <c r="B231" s="146"/>
      <c r="C231" s="146"/>
      <c r="D231" s="146"/>
      <c r="E231" s="146"/>
      <c r="F231" s="231"/>
      <c r="G231" s="231"/>
      <c r="H231" s="231"/>
      <c r="I231" s="231"/>
      <c r="J231" s="231"/>
      <c r="K231" s="231"/>
      <c r="L231" s="231"/>
      <c r="M231" s="231"/>
      <c r="N231" s="231"/>
      <c r="O231" s="231"/>
    </row>
    <row r="232" spans="1:15" s="224" customFormat="1" ht="35.1" customHeight="1" thickBot="1" x14ac:dyDescent="0.25">
      <c r="A232" s="213" t="s">
        <v>194</v>
      </c>
      <c r="B232" s="214"/>
      <c r="C232" s="214"/>
      <c r="D232" s="214"/>
      <c r="E232" s="214"/>
      <c r="F232" s="214"/>
      <c r="G232" s="214"/>
      <c r="H232" s="214"/>
      <c r="I232" s="214"/>
      <c r="J232" s="214"/>
      <c r="K232" s="214"/>
      <c r="L232" s="214"/>
      <c r="M232" s="214"/>
      <c r="N232" s="214"/>
      <c r="O232" s="214"/>
    </row>
    <row r="233" spans="1:15" s="224" customFormat="1" ht="35.1" customHeight="1" x14ac:dyDescent="0.2">
      <c r="A233" s="240">
        <f>+A229+1</f>
        <v>105</v>
      </c>
      <c r="B233" s="72" t="s">
        <v>61</v>
      </c>
      <c r="C233" s="73" t="s">
        <v>338</v>
      </c>
      <c r="D233" s="72" t="s">
        <v>11</v>
      </c>
      <c r="E233" s="72" t="s">
        <v>98</v>
      </c>
      <c r="F233" s="221">
        <v>65000</v>
      </c>
      <c r="G233" s="221">
        <f>F233*2.87%</f>
        <v>1865.5</v>
      </c>
      <c r="H233" s="68">
        <f>+F233*3.04%</f>
        <v>1976</v>
      </c>
      <c r="I233" s="68"/>
      <c r="J233" s="69">
        <f t="shared" si="83"/>
        <v>3841.5</v>
      </c>
      <c r="K233" s="69">
        <f t="shared" ref="K233:K234" si="87">+F233-J233</f>
        <v>61158.5</v>
      </c>
      <c r="L233" s="69">
        <f t="shared" ref="L233:L234" si="88">+IF(K233*12&lt;=416220.01,0,IF(K233*12&lt;=624329.01,(((K233*12-416220.01)*0.15)/12),IF((K233*12&lt;=867123.01),(31216+0.2*(K233*12-624329.01))/12,((79776+0.25*(K233*12-867123.01))/12))))</f>
        <v>4427.5498333333335</v>
      </c>
      <c r="M233" s="84">
        <v>225</v>
      </c>
      <c r="N233" s="220">
        <f>+M233+I233+H233+G233+L233</f>
        <v>8494.0498333333344</v>
      </c>
      <c r="O233" s="84">
        <f>+F233-N233</f>
        <v>56505.950166666662</v>
      </c>
    </row>
    <row r="234" spans="1:15" s="148" customFormat="1" ht="35.1" customHeight="1" x14ac:dyDescent="0.2">
      <c r="A234" s="240">
        <f>+A233+1</f>
        <v>106</v>
      </c>
      <c r="B234" s="72" t="s">
        <v>360</v>
      </c>
      <c r="C234" s="73" t="s">
        <v>338</v>
      </c>
      <c r="D234" s="72" t="s">
        <v>11</v>
      </c>
      <c r="E234" s="72" t="s">
        <v>98</v>
      </c>
      <c r="F234" s="221">
        <v>65000</v>
      </c>
      <c r="G234" s="221">
        <f>F234*2.87%</f>
        <v>1865.5</v>
      </c>
      <c r="H234" s="68">
        <f>+F234*3.04%</f>
        <v>1976</v>
      </c>
      <c r="I234" s="68">
        <v>1919.78</v>
      </c>
      <c r="J234" s="69">
        <f t="shared" si="83"/>
        <v>5761.28</v>
      </c>
      <c r="K234" s="69">
        <f t="shared" si="87"/>
        <v>59238.720000000001</v>
      </c>
      <c r="L234" s="69">
        <f t="shared" si="88"/>
        <v>4043.5938333333338</v>
      </c>
      <c r="M234" s="84">
        <v>225</v>
      </c>
      <c r="N234" s="220">
        <f>+M234+I234+H234+G234+L234</f>
        <v>10029.873833333333</v>
      </c>
      <c r="O234" s="84">
        <f>+F234-N234</f>
        <v>54970.126166666669</v>
      </c>
    </row>
    <row r="235" spans="1:15" s="224" customFormat="1" ht="35.1" customHeight="1" x14ac:dyDescent="0.2">
      <c r="A235" s="228" t="s">
        <v>100</v>
      </c>
      <c r="B235" s="229"/>
      <c r="C235" s="229"/>
      <c r="D235" s="229"/>
      <c r="E235" s="245"/>
      <c r="F235" s="230">
        <f t="shared" ref="F235:L235" si="89">SUM(F233:F234)</f>
        <v>130000</v>
      </c>
      <c r="G235" s="230">
        <f t="shared" si="89"/>
        <v>3731</v>
      </c>
      <c r="H235" s="230">
        <f t="shared" si="89"/>
        <v>3952</v>
      </c>
      <c r="I235" s="230">
        <f t="shared" si="89"/>
        <v>1919.78</v>
      </c>
      <c r="J235" s="230">
        <f t="shared" si="89"/>
        <v>9602.7799999999988</v>
      </c>
      <c r="K235" s="230">
        <f t="shared" si="89"/>
        <v>120397.22</v>
      </c>
      <c r="L235" s="230">
        <f t="shared" si="89"/>
        <v>8471.1436666666668</v>
      </c>
      <c r="M235" s="230">
        <f>SUM(M233:M234)</f>
        <v>450</v>
      </c>
      <c r="N235" s="230">
        <f>SUM(N233:N234)</f>
        <v>18523.923666666669</v>
      </c>
      <c r="O235" s="230">
        <f>SUM(O233:O234)</f>
        <v>111476.07633333333</v>
      </c>
    </row>
    <row r="236" spans="1:15" s="148" customFormat="1" ht="35.1" customHeight="1" thickBot="1" x14ac:dyDescent="0.25">
      <c r="A236" s="146"/>
      <c r="B236" s="146"/>
      <c r="C236" s="146"/>
      <c r="D236" s="146"/>
      <c r="E236" s="146"/>
      <c r="F236" s="231"/>
      <c r="G236" s="231"/>
      <c r="H236" s="231"/>
      <c r="I236" s="231"/>
      <c r="J236" s="231"/>
      <c r="K236" s="231"/>
      <c r="L236" s="231"/>
      <c r="M236" s="231"/>
      <c r="N236" s="231"/>
      <c r="O236" s="231"/>
    </row>
    <row r="237" spans="1:15" s="224" customFormat="1" ht="35.1" customHeight="1" thickBot="1" x14ac:dyDescent="0.25">
      <c r="A237" s="234" t="s">
        <v>260</v>
      </c>
      <c r="B237" s="235"/>
      <c r="C237" s="235"/>
      <c r="D237" s="235"/>
      <c r="E237" s="235"/>
      <c r="F237" s="235"/>
      <c r="G237" s="235"/>
      <c r="H237" s="235"/>
      <c r="I237" s="235"/>
      <c r="J237" s="235"/>
      <c r="K237" s="235"/>
      <c r="L237" s="235"/>
      <c r="M237" s="235"/>
      <c r="N237" s="235"/>
      <c r="O237" s="235"/>
    </row>
    <row r="238" spans="1:15" s="258" customFormat="1" ht="35.1" customHeight="1" x14ac:dyDescent="0.2">
      <c r="A238" s="240">
        <f>+A234+1</f>
        <v>107</v>
      </c>
      <c r="B238" s="72" t="s">
        <v>15</v>
      </c>
      <c r="C238" s="73" t="s">
        <v>339</v>
      </c>
      <c r="D238" s="72" t="s">
        <v>161</v>
      </c>
      <c r="E238" s="72" t="s">
        <v>98</v>
      </c>
      <c r="F238" s="221">
        <v>95000</v>
      </c>
      <c r="G238" s="220">
        <f>F238*2.87%</f>
        <v>2726.5</v>
      </c>
      <c r="H238" s="69">
        <f>+F238*3.04%</f>
        <v>2888</v>
      </c>
      <c r="I238" s="69"/>
      <c r="J238" s="69">
        <f t="shared" si="83"/>
        <v>5614.5</v>
      </c>
      <c r="K238" s="69">
        <f>+F238-J238</f>
        <v>89385.5</v>
      </c>
      <c r="L238" s="69">
        <f t="shared" ref="L238:L239" si="90">+IF(K238*12&lt;=416220.01,0,IF(K238*12&lt;=624329.01,(((K238*12-416220.01)*0.15)/12),IF((K238*12&lt;=867123.01),(31216+0.2*(K238*12-624329.01))/12,((79776+0.25*(K238*12-867123.01))/12))))</f>
        <v>10929.312291666667</v>
      </c>
      <c r="M238" s="239">
        <v>25</v>
      </c>
      <c r="N238" s="220">
        <f>+M238+I238+H238+G238+L238</f>
        <v>16568.812291666669</v>
      </c>
      <c r="O238" s="84">
        <f>+F238-N238</f>
        <v>78431.187708333338</v>
      </c>
    </row>
    <row r="239" spans="1:15" s="224" customFormat="1" ht="35.1" customHeight="1" x14ac:dyDescent="0.2">
      <c r="A239" s="240">
        <f>+A238+1</f>
        <v>108</v>
      </c>
      <c r="B239" s="72" t="s">
        <v>25</v>
      </c>
      <c r="C239" s="73" t="s">
        <v>339</v>
      </c>
      <c r="D239" s="72" t="s">
        <v>73</v>
      </c>
      <c r="E239" s="72" t="s">
        <v>193</v>
      </c>
      <c r="F239" s="221">
        <v>50000</v>
      </c>
      <c r="G239" s="68">
        <f>F239*2.87%</f>
        <v>1435</v>
      </c>
      <c r="H239" s="69">
        <f>+F239*3.04%</f>
        <v>1520</v>
      </c>
      <c r="I239" s="220">
        <v>0</v>
      </c>
      <c r="J239" s="69">
        <f t="shared" si="83"/>
        <v>2955</v>
      </c>
      <c r="K239" s="69">
        <f>+F239-J239</f>
        <v>47045</v>
      </c>
      <c r="L239" s="69">
        <f t="shared" si="90"/>
        <v>1853.9998749999997</v>
      </c>
      <c r="M239" s="239">
        <v>345</v>
      </c>
      <c r="N239" s="220">
        <f>+M239+I239+H239+G239+L239</f>
        <v>5153.9998749999995</v>
      </c>
      <c r="O239" s="84">
        <f>+F239-N239</f>
        <v>44846.000124999999</v>
      </c>
    </row>
    <row r="240" spans="1:15" s="148" customFormat="1" ht="35.1" customHeight="1" thickBot="1" x14ac:dyDescent="0.25">
      <c r="A240" s="228" t="s">
        <v>100</v>
      </c>
      <c r="B240" s="229"/>
      <c r="C240" s="229"/>
      <c r="D240" s="229"/>
      <c r="E240" s="245"/>
      <c r="F240" s="230">
        <f>SUM(F238:F239)</f>
        <v>145000</v>
      </c>
      <c r="G240" s="230">
        <f t="shared" ref="G240:O240" si="91">SUM(G238:G239)</f>
        <v>4161.5</v>
      </c>
      <c r="H240" s="230">
        <f t="shared" si="91"/>
        <v>4408</v>
      </c>
      <c r="I240" s="230">
        <f t="shared" si="91"/>
        <v>0</v>
      </c>
      <c r="J240" s="230">
        <f t="shared" si="91"/>
        <v>8569.5</v>
      </c>
      <c r="K240" s="230">
        <f>SUM(K238:K239)</f>
        <v>136430.5</v>
      </c>
      <c r="L240" s="230">
        <f t="shared" si="91"/>
        <v>12783.312166666667</v>
      </c>
      <c r="M240" s="230">
        <f t="shared" si="91"/>
        <v>370</v>
      </c>
      <c r="N240" s="230">
        <f t="shared" si="91"/>
        <v>21722.81216666667</v>
      </c>
      <c r="O240" s="230">
        <f t="shared" si="91"/>
        <v>123277.18783333333</v>
      </c>
    </row>
    <row r="241" spans="1:15" s="148" customFormat="1" ht="35.1" customHeight="1" thickBot="1" x14ac:dyDescent="0.25">
      <c r="A241" s="234" t="s">
        <v>261</v>
      </c>
      <c r="B241" s="235"/>
      <c r="C241" s="235"/>
      <c r="D241" s="235"/>
      <c r="E241" s="235"/>
      <c r="F241" s="235"/>
      <c r="G241" s="235"/>
      <c r="H241" s="235"/>
      <c r="I241" s="235"/>
      <c r="J241" s="235"/>
      <c r="K241" s="235"/>
      <c r="L241" s="235"/>
      <c r="M241" s="235"/>
      <c r="N241" s="235"/>
      <c r="O241" s="235"/>
    </row>
    <row r="242" spans="1:15" s="224" customFormat="1" ht="44.25" customHeight="1" x14ac:dyDescent="0.2">
      <c r="A242" s="242">
        <f>+A239+1</f>
        <v>109</v>
      </c>
      <c r="B242" s="72" t="s">
        <v>321</v>
      </c>
      <c r="C242" s="73" t="s">
        <v>338</v>
      </c>
      <c r="D242" s="72" t="s">
        <v>262</v>
      </c>
      <c r="E242" s="72" t="s">
        <v>193</v>
      </c>
      <c r="F242" s="221">
        <v>55000</v>
      </c>
      <c r="G242" s="221">
        <f t="shared" ref="G242:G247" si="92">F242*2.87%</f>
        <v>1578.5</v>
      </c>
      <c r="H242" s="221">
        <f t="shared" ref="H242:H247" si="93">+F242*3.04%</f>
        <v>1672</v>
      </c>
      <c r="I242" s="221"/>
      <c r="J242" s="220">
        <f t="shared" si="83"/>
        <v>3250.5</v>
      </c>
      <c r="K242" s="220">
        <f>+F242-J242</f>
        <v>51749.5</v>
      </c>
      <c r="L242" s="220">
        <f t="shared" ref="L242:L273" si="94">+IF(K242*12&lt;=416220.01,0,IF(K242*12&lt;=624329.01,(((K242*12-416220.01)*0.15)/12),IF((K242*12&lt;=867123.01),(31216+0.2*(K242*12-624329.01))/12,((79776+0.25*(K242*12-867123.01))/12))))</f>
        <v>2559.6748749999997</v>
      </c>
      <c r="M242" s="226">
        <v>5807.19</v>
      </c>
      <c r="N242" s="220">
        <f t="shared" ref="N242:N273" si="95">+M242+I242+H242+G242+L242</f>
        <v>11617.364874999999</v>
      </c>
      <c r="O242" s="84">
        <f t="shared" ref="O242:O273" si="96">+F242-N242</f>
        <v>43382.635125000001</v>
      </c>
    </row>
    <row r="243" spans="1:15" s="224" customFormat="1" ht="35.1" customHeight="1" x14ac:dyDescent="0.2">
      <c r="A243" s="242">
        <f t="shared" ref="A243:A273" si="97">+A242+1</f>
        <v>110</v>
      </c>
      <c r="B243" s="72" t="s">
        <v>430</v>
      </c>
      <c r="C243" s="73" t="s">
        <v>338</v>
      </c>
      <c r="D243" s="72" t="s">
        <v>262</v>
      </c>
      <c r="E243" s="72" t="s">
        <v>193</v>
      </c>
      <c r="F243" s="221">
        <v>50000</v>
      </c>
      <c r="G243" s="221">
        <f>F243*2.87%</f>
        <v>1435</v>
      </c>
      <c r="H243" s="221">
        <f>+F243*3.04%</f>
        <v>1520</v>
      </c>
      <c r="I243" s="221"/>
      <c r="J243" s="220">
        <f>+G243+H243+I243</f>
        <v>2955</v>
      </c>
      <c r="K243" s="220">
        <f>+F243-J243</f>
        <v>47045</v>
      </c>
      <c r="L243" s="220">
        <f t="shared" si="94"/>
        <v>1853.9998749999997</v>
      </c>
      <c r="M243" s="226">
        <v>265</v>
      </c>
      <c r="N243" s="220">
        <f t="shared" si="95"/>
        <v>5073.9998749999995</v>
      </c>
      <c r="O243" s="84">
        <f t="shared" si="96"/>
        <v>44926.000124999999</v>
      </c>
    </row>
    <row r="244" spans="1:15" s="148" customFormat="1" ht="35.1" customHeight="1" x14ac:dyDescent="0.2">
      <c r="A244" s="242">
        <f t="shared" si="97"/>
        <v>111</v>
      </c>
      <c r="B244" s="72" t="s">
        <v>510</v>
      </c>
      <c r="C244" s="73" t="s">
        <v>339</v>
      </c>
      <c r="D244" s="72" t="s">
        <v>262</v>
      </c>
      <c r="E244" s="72" t="s">
        <v>193</v>
      </c>
      <c r="F244" s="221">
        <v>50000</v>
      </c>
      <c r="G244" s="221">
        <f t="shared" ref="G244" si="98">F244*2.87%</f>
        <v>1435</v>
      </c>
      <c r="H244" s="221">
        <f t="shared" ref="H244" si="99">+F244*3.04%</f>
        <v>1520</v>
      </c>
      <c r="I244" s="221"/>
      <c r="J244" s="220">
        <f t="shared" ref="J244" si="100">+G244+H244+I244</f>
        <v>2955</v>
      </c>
      <c r="K244" s="220">
        <f t="shared" ref="K244:K266" si="101">+F244-J244</f>
        <v>47045</v>
      </c>
      <c r="L244" s="220">
        <f t="shared" si="94"/>
        <v>1853.9998749999997</v>
      </c>
      <c r="M244" s="226">
        <v>225</v>
      </c>
      <c r="N244" s="220">
        <f t="shared" si="95"/>
        <v>5033.9998749999995</v>
      </c>
      <c r="O244" s="84">
        <f t="shared" si="96"/>
        <v>44966.000124999999</v>
      </c>
    </row>
    <row r="245" spans="1:15" s="223" customFormat="1" ht="35.1" customHeight="1" x14ac:dyDescent="0.2">
      <c r="A245" s="242">
        <f t="shared" si="97"/>
        <v>112</v>
      </c>
      <c r="B245" s="72" t="s">
        <v>639</v>
      </c>
      <c r="C245" s="307" t="s">
        <v>338</v>
      </c>
      <c r="D245" s="72" t="s">
        <v>262</v>
      </c>
      <c r="E245" s="72" t="s">
        <v>193</v>
      </c>
      <c r="F245" s="221">
        <v>48000</v>
      </c>
      <c r="G245" s="221">
        <f>F245*2.87%</f>
        <v>1377.6</v>
      </c>
      <c r="H245" s="221">
        <f>+F245*3.04%</f>
        <v>1459.2</v>
      </c>
      <c r="I245" s="221"/>
      <c r="J245" s="220">
        <f>+G245+H245+I245</f>
        <v>2836.8</v>
      </c>
      <c r="K245" s="220">
        <f>+F245-J245</f>
        <v>45163.199999999997</v>
      </c>
      <c r="L245" s="220">
        <f>+IF(K245*12&lt;=416220.01,0,IF(K245*12&lt;=624329.01,(((K245*12-416220.01)*0.15)/12),IF((K245*12&lt;=867123.01),(31216+0.2*(K245*12-624329.01))/12,((79776+0.25*(K245*12-867123.01))/12))))</f>
        <v>1571.7298749999989</v>
      </c>
      <c r="M245" s="226">
        <v>225</v>
      </c>
      <c r="N245" s="220">
        <f>+M245+I245+H245+G245+L245</f>
        <v>4633.5298749999993</v>
      </c>
      <c r="O245" s="84">
        <f>+F245-N245</f>
        <v>43366.470125</v>
      </c>
    </row>
    <row r="246" spans="1:15" s="148" customFormat="1" ht="35.1" customHeight="1" x14ac:dyDescent="0.2">
      <c r="A246" s="242">
        <f t="shared" si="97"/>
        <v>113</v>
      </c>
      <c r="B246" s="72" t="s">
        <v>121</v>
      </c>
      <c r="C246" s="73" t="s">
        <v>338</v>
      </c>
      <c r="D246" s="72" t="s">
        <v>262</v>
      </c>
      <c r="E246" s="72" t="s">
        <v>193</v>
      </c>
      <c r="F246" s="221">
        <v>35000</v>
      </c>
      <c r="G246" s="221">
        <f t="shared" si="92"/>
        <v>1004.5</v>
      </c>
      <c r="H246" s="221">
        <f t="shared" si="93"/>
        <v>1064</v>
      </c>
      <c r="I246" s="221"/>
      <c r="J246" s="220">
        <f>+G246+H246+I246</f>
        <v>2068.5</v>
      </c>
      <c r="K246" s="220">
        <f t="shared" si="101"/>
        <v>32931.5</v>
      </c>
      <c r="L246" s="220">
        <f t="shared" si="94"/>
        <v>0</v>
      </c>
      <c r="M246" s="226">
        <v>385</v>
      </c>
      <c r="N246" s="220">
        <f t="shared" si="95"/>
        <v>2453.5</v>
      </c>
      <c r="O246" s="84">
        <f t="shared" si="96"/>
        <v>32546.5</v>
      </c>
    </row>
    <row r="247" spans="1:15" s="148" customFormat="1" ht="35.1" customHeight="1" x14ac:dyDescent="0.2">
      <c r="A247" s="242">
        <f t="shared" si="97"/>
        <v>114</v>
      </c>
      <c r="B247" s="72" t="s">
        <v>18</v>
      </c>
      <c r="C247" s="73" t="s">
        <v>339</v>
      </c>
      <c r="D247" s="72" t="s">
        <v>76</v>
      </c>
      <c r="E247" s="72" t="s">
        <v>98</v>
      </c>
      <c r="F247" s="221">
        <v>32000</v>
      </c>
      <c r="G247" s="221">
        <f t="shared" si="92"/>
        <v>918.4</v>
      </c>
      <c r="H247" s="221">
        <f t="shared" si="93"/>
        <v>972.8</v>
      </c>
      <c r="I247" s="221"/>
      <c r="J247" s="220">
        <f t="shared" si="83"/>
        <v>1891.1999999999998</v>
      </c>
      <c r="K247" s="220">
        <f t="shared" si="101"/>
        <v>30108.799999999999</v>
      </c>
      <c r="L247" s="220">
        <f t="shared" si="94"/>
        <v>0</v>
      </c>
      <c r="M247" s="226">
        <v>225</v>
      </c>
      <c r="N247" s="220">
        <f t="shared" si="95"/>
        <v>2116.1999999999998</v>
      </c>
      <c r="O247" s="84">
        <f t="shared" si="96"/>
        <v>29883.8</v>
      </c>
    </row>
    <row r="248" spans="1:15" s="224" customFormat="1" ht="35.1" customHeight="1" x14ac:dyDescent="0.2">
      <c r="A248" s="242">
        <f t="shared" si="97"/>
        <v>115</v>
      </c>
      <c r="B248" s="72" t="s">
        <v>162</v>
      </c>
      <c r="C248" s="73" t="s">
        <v>339</v>
      </c>
      <c r="D248" s="72" t="s">
        <v>76</v>
      </c>
      <c r="E248" s="72" t="s">
        <v>98</v>
      </c>
      <c r="F248" s="221">
        <v>32000</v>
      </c>
      <c r="G248" s="221">
        <f t="shared" ref="G248:G259" si="102">F248*2.87%</f>
        <v>918.4</v>
      </c>
      <c r="H248" s="221">
        <f t="shared" ref="H248:H259" si="103">+F248*3.04%</f>
        <v>972.8</v>
      </c>
      <c r="I248" s="221"/>
      <c r="J248" s="220">
        <f t="shared" si="83"/>
        <v>1891.1999999999998</v>
      </c>
      <c r="K248" s="220">
        <f t="shared" si="101"/>
        <v>30108.799999999999</v>
      </c>
      <c r="L248" s="220">
        <f t="shared" si="94"/>
        <v>0</v>
      </c>
      <c r="M248" s="226">
        <v>3947.6500000000005</v>
      </c>
      <c r="N248" s="220">
        <f t="shared" si="95"/>
        <v>5838.85</v>
      </c>
      <c r="O248" s="84">
        <f t="shared" si="96"/>
        <v>26161.15</v>
      </c>
    </row>
    <row r="249" spans="1:15" s="148" customFormat="1" ht="35.1" customHeight="1" x14ac:dyDescent="0.2">
      <c r="A249" s="242">
        <f t="shared" si="97"/>
        <v>116</v>
      </c>
      <c r="B249" s="72" t="s">
        <v>20</v>
      </c>
      <c r="C249" s="73" t="s">
        <v>339</v>
      </c>
      <c r="D249" s="72" t="s">
        <v>23</v>
      </c>
      <c r="E249" s="72" t="s">
        <v>193</v>
      </c>
      <c r="F249" s="221">
        <v>32000</v>
      </c>
      <c r="G249" s="221">
        <f t="shared" si="102"/>
        <v>918.4</v>
      </c>
      <c r="H249" s="221">
        <f t="shared" si="103"/>
        <v>972.8</v>
      </c>
      <c r="I249" s="221">
        <f>1919.78*2</f>
        <v>3839.56</v>
      </c>
      <c r="J249" s="220">
        <f t="shared" si="83"/>
        <v>5730.76</v>
      </c>
      <c r="K249" s="220">
        <f t="shared" si="101"/>
        <v>26269.239999999998</v>
      </c>
      <c r="L249" s="220">
        <f t="shared" si="94"/>
        <v>0</v>
      </c>
      <c r="M249" s="226">
        <v>265</v>
      </c>
      <c r="N249" s="220">
        <f t="shared" si="95"/>
        <v>5995.7599999999993</v>
      </c>
      <c r="O249" s="84">
        <f t="shared" si="96"/>
        <v>26004.240000000002</v>
      </c>
    </row>
    <row r="250" spans="1:15" s="148" customFormat="1" ht="35.1" customHeight="1" x14ac:dyDescent="0.2">
      <c r="A250" s="242">
        <f t="shared" si="97"/>
        <v>117</v>
      </c>
      <c r="B250" s="72" t="s">
        <v>21</v>
      </c>
      <c r="C250" s="73" t="s">
        <v>338</v>
      </c>
      <c r="D250" s="72" t="s">
        <v>23</v>
      </c>
      <c r="E250" s="72" t="s">
        <v>193</v>
      </c>
      <c r="F250" s="221">
        <v>32000</v>
      </c>
      <c r="G250" s="221">
        <f t="shared" si="102"/>
        <v>918.4</v>
      </c>
      <c r="H250" s="221">
        <f t="shared" si="103"/>
        <v>972.8</v>
      </c>
      <c r="I250" s="221"/>
      <c r="J250" s="220">
        <f t="shared" si="83"/>
        <v>1891.1999999999998</v>
      </c>
      <c r="K250" s="220">
        <f t="shared" si="101"/>
        <v>30108.799999999999</v>
      </c>
      <c r="L250" s="220">
        <f t="shared" si="94"/>
        <v>0</v>
      </c>
      <c r="M250" s="226">
        <v>4011.11</v>
      </c>
      <c r="N250" s="220">
        <f t="shared" si="95"/>
        <v>5902.3099999999995</v>
      </c>
      <c r="O250" s="84">
        <f t="shared" si="96"/>
        <v>26097.690000000002</v>
      </c>
    </row>
    <row r="251" spans="1:15" s="224" customFormat="1" ht="35.1" customHeight="1" x14ac:dyDescent="0.2">
      <c r="A251" s="242">
        <f t="shared" si="97"/>
        <v>118</v>
      </c>
      <c r="B251" s="72" t="s">
        <v>263</v>
      </c>
      <c r="C251" s="73" t="s">
        <v>339</v>
      </c>
      <c r="D251" s="72" t="s">
        <v>23</v>
      </c>
      <c r="E251" s="72" t="s">
        <v>98</v>
      </c>
      <c r="F251" s="221">
        <v>32000</v>
      </c>
      <c r="G251" s="221">
        <f t="shared" si="102"/>
        <v>918.4</v>
      </c>
      <c r="H251" s="221">
        <f t="shared" si="103"/>
        <v>972.8</v>
      </c>
      <c r="I251" s="221"/>
      <c r="J251" s="220">
        <f t="shared" si="83"/>
        <v>1891.1999999999998</v>
      </c>
      <c r="K251" s="220">
        <f t="shared" si="101"/>
        <v>30108.799999999999</v>
      </c>
      <c r="L251" s="220">
        <f t="shared" si="94"/>
        <v>0</v>
      </c>
      <c r="M251" s="226">
        <v>6052.11</v>
      </c>
      <c r="N251" s="220">
        <f t="shared" si="95"/>
        <v>7943.3099999999995</v>
      </c>
      <c r="O251" s="84">
        <f t="shared" si="96"/>
        <v>24056.690000000002</v>
      </c>
    </row>
    <row r="252" spans="1:15" s="258" customFormat="1" ht="35.1" customHeight="1" x14ac:dyDescent="0.2">
      <c r="A252" s="242">
        <f t="shared" si="97"/>
        <v>119</v>
      </c>
      <c r="B252" s="72" t="s">
        <v>22</v>
      </c>
      <c r="C252" s="73" t="s">
        <v>339</v>
      </c>
      <c r="D252" s="72" t="s">
        <v>23</v>
      </c>
      <c r="E252" s="72" t="s">
        <v>98</v>
      </c>
      <c r="F252" s="221">
        <v>32000</v>
      </c>
      <c r="G252" s="221">
        <f t="shared" si="102"/>
        <v>918.4</v>
      </c>
      <c r="H252" s="221">
        <f t="shared" si="103"/>
        <v>972.8</v>
      </c>
      <c r="I252" s="221">
        <v>0</v>
      </c>
      <c r="J252" s="220">
        <f t="shared" si="83"/>
        <v>1891.1999999999998</v>
      </c>
      <c r="K252" s="220">
        <f t="shared" si="101"/>
        <v>30108.799999999999</v>
      </c>
      <c r="L252" s="220">
        <f t="shared" si="94"/>
        <v>0</v>
      </c>
      <c r="M252" s="226">
        <v>5976.53</v>
      </c>
      <c r="N252" s="220">
        <f t="shared" si="95"/>
        <v>7867.73</v>
      </c>
      <c r="O252" s="84">
        <f t="shared" si="96"/>
        <v>24132.27</v>
      </c>
    </row>
    <row r="253" spans="1:15" s="148" customFormat="1" ht="35.1" customHeight="1" x14ac:dyDescent="0.2">
      <c r="A253" s="242">
        <f t="shared" si="97"/>
        <v>120</v>
      </c>
      <c r="B253" s="72" t="s">
        <v>268</v>
      </c>
      <c r="C253" s="73" t="s">
        <v>339</v>
      </c>
      <c r="D253" s="72" t="s">
        <v>23</v>
      </c>
      <c r="E253" s="72" t="s">
        <v>193</v>
      </c>
      <c r="F253" s="221">
        <v>32000</v>
      </c>
      <c r="G253" s="221">
        <f>F253*2.87%</f>
        <v>918.4</v>
      </c>
      <c r="H253" s="221">
        <f>+F253*3.04%</f>
        <v>972.8</v>
      </c>
      <c r="I253" s="221"/>
      <c r="J253" s="220">
        <f>+G253+H253+I253</f>
        <v>1891.1999999999998</v>
      </c>
      <c r="K253" s="220">
        <f t="shared" si="101"/>
        <v>30108.799999999999</v>
      </c>
      <c r="L253" s="220">
        <f t="shared" si="94"/>
        <v>0</v>
      </c>
      <c r="M253" s="226">
        <v>5147.8599999999997</v>
      </c>
      <c r="N253" s="220">
        <f t="shared" si="95"/>
        <v>7039.0599999999995</v>
      </c>
      <c r="O253" s="84">
        <f t="shared" si="96"/>
        <v>24960.940000000002</v>
      </c>
    </row>
    <row r="254" spans="1:15" s="148" customFormat="1" ht="35.1" customHeight="1" x14ac:dyDescent="0.2">
      <c r="A254" s="242">
        <f t="shared" si="97"/>
        <v>121</v>
      </c>
      <c r="B254" s="72" t="s">
        <v>120</v>
      </c>
      <c r="C254" s="73" t="s">
        <v>339</v>
      </c>
      <c r="D254" s="72" t="s">
        <v>23</v>
      </c>
      <c r="E254" s="72" t="s">
        <v>193</v>
      </c>
      <c r="F254" s="221">
        <v>32000</v>
      </c>
      <c r="G254" s="221">
        <f>F254*2.87%</f>
        <v>918.4</v>
      </c>
      <c r="H254" s="221">
        <f>+F254*3.04%</f>
        <v>972.8</v>
      </c>
      <c r="I254" s="221"/>
      <c r="J254" s="220">
        <f>+G254+H254+I254</f>
        <v>1891.1999999999998</v>
      </c>
      <c r="K254" s="220">
        <f t="shared" si="101"/>
        <v>30108.799999999999</v>
      </c>
      <c r="L254" s="220">
        <f t="shared" si="94"/>
        <v>0</v>
      </c>
      <c r="M254" s="226">
        <v>12591.95</v>
      </c>
      <c r="N254" s="220">
        <f t="shared" si="95"/>
        <v>14483.15</v>
      </c>
      <c r="O254" s="84">
        <f t="shared" si="96"/>
        <v>17516.849999999999</v>
      </c>
    </row>
    <row r="255" spans="1:15" s="224" customFormat="1" ht="35.1" customHeight="1" x14ac:dyDescent="0.2">
      <c r="A255" s="242">
        <f t="shared" si="97"/>
        <v>122</v>
      </c>
      <c r="B255" s="72" t="s">
        <v>19</v>
      </c>
      <c r="C255" s="73" t="s">
        <v>338</v>
      </c>
      <c r="D255" s="72" t="s">
        <v>23</v>
      </c>
      <c r="E255" s="72" t="s">
        <v>98</v>
      </c>
      <c r="F255" s="221">
        <v>28000</v>
      </c>
      <c r="G255" s="221">
        <f t="shared" si="102"/>
        <v>803.6</v>
      </c>
      <c r="H255" s="221">
        <f t="shared" si="103"/>
        <v>851.2</v>
      </c>
      <c r="I255" s="221">
        <v>0</v>
      </c>
      <c r="J255" s="220">
        <f t="shared" si="83"/>
        <v>1654.8000000000002</v>
      </c>
      <c r="K255" s="220">
        <f t="shared" si="101"/>
        <v>26345.200000000001</v>
      </c>
      <c r="L255" s="220">
        <f t="shared" si="94"/>
        <v>0</v>
      </c>
      <c r="M255" s="226">
        <v>10736.16</v>
      </c>
      <c r="N255" s="220">
        <f t="shared" si="95"/>
        <v>12390.960000000001</v>
      </c>
      <c r="O255" s="84">
        <f t="shared" si="96"/>
        <v>15609.039999999999</v>
      </c>
    </row>
    <row r="256" spans="1:15" s="224" customFormat="1" ht="35.1" customHeight="1" x14ac:dyDescent="0.2">
      <c r="A256" s="242">
        <f t="shared" si="97"/>
        <v>123</v>
      </c>
      <c r="B256" s="72" t="s">
        <v>264</v>
      </c>
      <c r="C256" s="73" t="s">
        <v>339</v>
      </c>
      <c r="D256" s="72" t="s">
        <v>23</v>
      </c>
      <c r="E256" s="72" t="s">
        <v>98</v>
      </c>
      <c r="F256" s="221">
        <v>28000</v>
      </c>
      <c r="G256" s="221">
        <f t="shared" si="102"/>
        <v>803.6</v>
      </c>
      <c r="H256" s="221">
        <f t="shared" si="103"/>
        <v>851.2</v>
      </c>
      <c r="I256" s="221"/>
      <c r="J256" s="220">
        <f t="shared" si="83"/>
        <v>1654.8000000000002</v>
      </c>
      <c r="K256" s="220">
        <f t="shared" si="101"/>
        <v>26345.200000000001</v>
      </c>
      <c r="L256" s="220">
        <f t="shared" si="94"/>
        <v>0</v>
      </c>
      <c r="M256" s="226">
        <v>225</v>
      </c>
      <c r="N256" s="220">
        <f t="shared" si="95"/>
        <v>1879.8000000000002</v>
      </c>
      <c r="O256" s="84">
        <f t="shared" si="96"/>
        <v>26120.2</v>
      </c>
    </row>
    <row r="257" spans="1:15" s="224" customFormat="1" ht="35.1" customHeight="1" x14ac:dyDescent="0.2">
      <c r="A257" s="242">
        <f t="shared" si="97"/>
        <v>124</v>
      </c>
      <c r="B257" s="72" t="s">
        <v>266</v>
      </c>
      <c r="C257" s="73" t="s">
        <v>338</v>
      </c>
      <c r="D257" s="72" t="s">
        <v>23</v>
      </c>
      <c r="E257" s="72" t="s">
        <v>193</v>
      </c>
      <c r="F257" s="221">
        <v>28000</v>
      </c>
      <c r="G257" s="221">
        <f t="shared" si="102"/>
        <v>803.6</v>
      </c>
      <c r="H257" s="221">
        <f t="shared" si="103"/>
        <v>851.2</v>
      </c>
      <c r="I257" s="221"/>
      <c r="J257" s="220">
        <f t="shared" si="83"/>
        <v>1654.8000000000002</v>
      </c>
      <c r="K257" s="220">
        <f t="shared" si="101"/>
        <v>26345.200000000001</v>
      </c>
      <c r="L257" s="220">
        <f t="shared" si="94"/>
        <v>0</v>
      </c>
      <c r="M257" s="226">
        <v>225</v>
      </c>
      <c r="N257" s="220">
        <f t="shared" si="95"/>
        <v>1879.8000000000002</v>
      </c>
      <c r="O257" s="84">
        <f t="shared" si="96"/>
        <v>26120.2</v>
      </c>
    </row>
    <row r="258" spans="1:15" s="224" customFormat="1" ht="35.1" customHeight="1" x14ac:dyDescent="0.2">
      <c r="A258" s="242">
        <f t="shared" si="97"/>
        <v>125</v>
      </c>
      <c r="B258" s="72" t="s">
        <v>267</v>
      </c>
      <c r="C258" s="73" t="s">
        <v>339</v>
      </c>
      <c r="D258" s="72" t="s">
        <v>23</v>
      </c>
      <c r="E258" s="72" t="s">
        <v>193</v>
      </c>
      <c r="F258" s="221">
        <v>28000</v>
      </c>
      <c r="G258" s="221">
        <f t="shared" si="102"/>
        <v>803.6</v>
      </c>
      <c r="H258" s="221">
        <f t="shared" si="103"/>
        <v>851.2</v>
      </c>
      <c r="I258" s="221"/>
      <c r="J258" s="220">
        <f t="shared" si="83"/>
        <v>1654.8000000000002</v>
      </c>
      <c r="K258" s="220">
        <f t="shared" si="101"/>
        <v>26345.200000000001</v>
      </c>
      <c r="L258" s="220">
        <f t="shared" si="94"/>
        <v>0</v>
      </c>
      <c r="M258" s="226">
        <v>1330.29</v>
      </c>
      <c r="N258" s="220">
        <f t="shared" si="95"/>
        <v>2985.0899999999997</v>
      </c>
      <c r="O258" s="84">
        <f t="shared" si="96"/>
        <v>25014.91</v>
      </c>
    </row>
    <row r="259" spans="1:15" s="148" customFormat="1" ht="35.1" customHeight="1" x14ac:dyDescent="0.2">
      <c r="A259" s="242">
        <f t="shared" si="97"/>
        <v>126</v>
      </c>
      <c r="B259" s="72" t="s">
        <v>375</v>
      </c>
      <c r="C259" s="73" t="s">
        <v>338</v>
      </c>
      <c r="D259" s="72" t="s">
        <v>23</v>
      </c>
      <c r="E259" s="72" t="s">
        <v>193</v>
      </c>
      <c r="F259" s="221">
        <v>28000</v>
      </c>
      <c r="G259" s="221">
        <f t="shared" si="102"/>
        <v>803.6</v>
      </c>
      <c r="H259" s="221">
        <f t="shared" si="103"/>
        <v>851.2</v>
      </c>
      <c r="I259" s="221">
        <v>0</v>
      </c>
      <c r="J259" s="220">
        <f t="shared" si="83"/>
        <v>1654.8000000000002</v>
      </c>
      <c r="K259" s="220">
        <f t="shared" si="101"/>
        <v>26345.200000000001</v>
      </c>
      <c r="L259" s="220">
        <f t="shared" si="94"/>
        <v>0</v>
      </c>
      <c r="M259" s="226">
        <v>25</v>
      </c>
      <c r="N259" s="220">
        <f t="shared" si="95"/>
        <v>1679.8000000000002</v>
      </c>
      <c r="O259" s="84">
        <f t="shared" si="96"/>
        <v>26320.2</v>
      </c>
    </row>
    <row r="260" spans="1:15" s="148" customFormat="1" ht="35.1" customHeight="1" x14ac:dyDescent="0.2">
      <c r="A260" s="242">
        <f t="shared" si="97"/>
        <v>127</v>
      </c>
      <c r="B260" s="72" t="s">
        <v>446</v>
      </c>
      <c r="C260" s="73" t="s">
        <v>338</v>
      </c>
      <c r="D260" s="72" t="s">
        <v>23</v>
      </c>
      <c r="E260" s="72" t="s">
        <v>193</v>
      </c>
      <c r="F260" s="221">
        <v>24000</v>
      </c>
      <c r="G260" s="221">
        <f t="shared" ref="G260" si="104">F260*2.87%</f>
        <v>688.8</v>
      </c>
      <c r="H260" s="221">
        <f t="shared" ref="H260" si="105">+F260*3.04%</f>
        <v>729.6</v>
      </c>
      <c r="I260" s="221">
        <v>1919.78</v>
      </c>
      <c r="J260" s="220">
        <f t="shared" si="83"/>
        <v>3338.1800000000003</v>
      </c>
      <c r="K260" s="220">
        <f t="shared" si="101"/>
        <v>20661.82</v>
      </c>
      <c r="L260" s="220">
        <f t="shared" si="94"/>
        <v>0</v>
      </c>
      <c r="M260" s="226">
        <v>9513.81</v>
      </c>
      <c r="N260" s="220">
        <f t="shared" si="95"/>
        <v>12851.99</v>
      </c>
      <c r="O260" s="84">
        <f t="shared" si="96"/>
        <v>11148.01</v>
      </c>
    </row>
    <row r="261" spans="1:15" s="148" customFormat="1" ht="35.1" customHeight="1" x14ac:dyDescent="0.2">
      <c r="A261" s="242">
        <f t="shared" si="97"/>
        <v>128</v>
      </c>
      <c r="B261" s="72" t="s">
        <v>447</v>
      </c>
      <c r="C261" s="73" t="s">
        <v>338</v>
      </c>
      <c r="D261" s="72" t="s">
        <v>23</v>
      </c>
      <c r="E261" s="72" t="s">
        <v>193</v>
      </c>
      <c r="F261" s="221">
        <v>24000</v>
      </c>
      <c r="G261" s="221">
        <f t="shared" ref="G261:G263" si="106">F261*2.87%</f>
        <v>688.8</v>
      </c>
      <c r="H261" s="221">
        <f t="shared" ref="H261:H263" si="107">+F261*3.04%</f>
        <v>729.6</v>
      </c>
      <c r="I261" s="221">
        <v>1919.78</v>
      </c>
      <c r="J261" s="220">
        <f t="shared" si="83"/>
        <v>3338.1800000000003</v>
      </c>
      <c r="K261" s="220">
        <f t="shared" si="101"/>
        <v>20661.82</v>
      </c>
      <c r="L261" s="220">
        <f t="shared" si="94"/>
        <v>0</v>
      </c>
      <c r="M261" s="226">
        <v>2952.56</v>
      </c>
      <c r="N261" s="220">
        <f t="shared" si="95"/>
        <v>6290.7400000000007</v>
      </c>
      <c r="O261" s="84">
        <f t="shared" si="96"/>
        <v>17709.259999999998</v>
      </c>
    </row>
    <row r="262" spans="1:15" s="224" customFormat="1" ht="35.1" customHeight="1" x14ac:dyDescent="0.2">
      <c r="A262" s="242">
        <f t="shared" si="97"/>
        <v>129</v>
      </c>
      <c r="B262" s="72" t="s">
        <v>448</v>
      </c>
      <c r="C262" s="73" t="s">
        <v>339</v>
      </c>
      <c r="D262" s="72" t="s">
        <v>76</v>
      </c>
      <c r="E262" s="72" t="s">
        <v>193</v>
      </c>
      <c r="F262" s="221">
        <v>24000</v>
      </c>
      <c r="G262" s="221">
        <f t="shared" si="106"/>
        <v>688.8</v>
      </c>
      <c r="H262" s="221">
        <f t="shared" si="107"/>
        <v>729.6</v>
      </c>
      <c r="I262" s="221"/>
      <c r="J262" s="220">
        <f t="shared" si="83"/>
        <v>1418.4</v>
      </c>
      <c r="K262" s="220">
        <f t="shared" si="101"/>
        <v>22581.599999999999</v>
      </c>
      <c r="L262" s="220">
        <f t="shared" si="94"/>
        <v>0</v>
      </c>
      <c r="M262" s="226">
        <v>4053.35</v>
      </c>
      <c r="N262" s="220">
        <f t="shared" si="95"/>
        <v>5471.75</v>
      </c>
      <c r="O262" s="84">
        <f t="shared" si="96"/>
        <v>18528.25</v>
      </c>
    </row>
    <row r="263" spans="1:15" s="224" customFormat="1" ht="35.1" customHeight="1" x14ac:dyDescent="0.2">
      <c r="A263" s="242">
        <f t="shared" si="97"/>
        <v>130</v>
      </c>
      <c r="B263" s="72" t="s">
        <v>449</v>
      </c>
      <c r="C263" s="73" t="s">
        <v>339</v>
      </c>
      <c r="D263" s="72" t="s">
        <v>23</v>
      </c>
      <c r="E263" s="72" t="s">
        <v>193</v>
      </c>
      <c r="F263" s="221">
        <v>24000</v>
      </c>
      <c r="G263" s="221">
        <f t="shared" si="106"/>
        <v>688.8</v>
      </c>
      <c r="H263" s="221">
        <f t="shared" si="107"/>
        <v>729.6</v>
      </c>
      <c r="I263" s="221"/>
      <c r="J263" s="220">
        <f t="shared" si="83"/>
        <v>1418.4</v>
      </c>
      <c r="K263" s="220">
        <f t="shared" si="101"/>
        <v>22581.599999999999</v>
      </c>
      <c r="L263" s="220">
        <f t="shared" si="94"/>
        <v>0</v>
      </c>
      <c r="M263" s="226">
        <v>2517.62</v>
      </c>
      <c r="N263" s="220">
        <f t="shared" si="95"/>
        <v>3936.0199999999995</v>
      </c>
      <c r="O263" s="84">
        <f t="shared" si="96"/>
        <v>20063.98</v>
      </c>
    </row>
    <row r="264" spans="1:15" s="224" customFormat="1" ht="35.1" customHeight="1" x14ac:dyDescent="0.2">
      <c r="A264" s="242">
        <f t="shared" si="97"/>
        <v>131</v>
      </c>
      <c r="B264" s="72" t="s">
        <v>523</v>
      </c>
      <c r="C264" s="73" t="s">
        <v>339</v>
      </c>
      <c r="D264" s="72" t="s">
        <v>23</v>
      </c>
      <c r="E264" s="72" t="s">
        <v>193</v>
      </c>
      <c r="F264" s="221">
        <v>24000</v>
      </c>
      <c r="G264" s="221">
        <f t="shared" ref="G264:G266" si="108">F264*2.87%</f>
        <v>688.8</v>
      </c>
      <c r="H264" s="221">
        <f t="shared" ref="H264:H266" si="109">+F264*3.04%</f>
        <v>729.6</v>
      </c>
      <c r="I264" s="221"/>
      <c r="J264" s="220">
        <f t="shared" ref="J264:J266" si="110">+G264+H264+I264</f>
        <v>1418.4</v>
      </c>
      <c r="K264" s="220">
        <f t="shared" si="101"/>
        <v>22581.599999999999</v>
      </c>
      <c r="L264" s="220">
        <f t="shared" si="94"/>
        <v>0</v>
      </c>
      <c r="M264" s="226">
        <v>1290.29</v>
      </c>
      <c r="N264" s="220">
        <f t="shared" si="95"/>
        <v>2708.6899999999996</v>
      </c>
      <c r="O264" s="84">
        <f t="shared" si="96"/>
        <v>21291.31</v>
      </c>
    </row>
    <row r="265" spans="1:15" s="224" customFormat="1" ht="35.1" customHeight="1" x14ac:dyDescent="0.2">
      <c r="A265" s="242">
        <f t="shared" si="97"/>
        <v>132</v>
      </c>
      <c r="B265" s="72" t="s">
        <v>555</v>
      </c>
      <c r="C265" s="73" t="s">
        <v>339</v>
      </c>
      <c r="D265" s="72" t="s">
        <v>23</v>
      </c>
      <c r="E265" s="72" t="s">
        <v>193</v>
      </c>
      <c r="F265" s="221">
        <v>24000</v>
      </c>
      <c r="G265" s="221">
        <f t="shared" si="108"/>
        <v>688.8</v>
      </c>
      <c r="H265" s="221">
        <f t="shared" si="109"/>
        <v>729.6</v>
      </c>
      <c r="I265" s="221"/>
      <c r="J265" s="220">
        <f t="shared" si="110"/>
        <v>1418.4</v>
      </c>
      <c r="K265" s="220">
        <f t="shared" si="101"/>
        <v>22581.599999999999</v>
      </c>
      <c r="L265" s="220">
        <f t="shared" si="94"/>
        <v>0</v>
      </c>
      <c r="M265" s="226">
        <v>2492.63</v>
      </c>
      <c r="N265" s="220">
        <f t="shared" si="95"/>
        <v>3911.0299999999997</v>
      </c>
      <c r="O265" s="84">
        <f t="shared" si="96"/>
        <v>20088.97</v>
      </c>
    </row>
    <row r="266" spans="1:15" s="149" customFormat="1" ht="35.1" customHeight="1" x14ac:dyDescent="0.2">
      <c r="A266" s="242">
        <f t="shared" si="97"/>
        <v>133</v>
      </c>
      <c r="B266" s="72" t="s">
        <v>556</v>
      </c>
      <c r="C266" s="73" t="s">
        <v>338</v>
      </c>
      <c r="D266" s="72" t="s">
        <v>23</v>
      </c>
      <c r="E266" s="72" t="s">
        <v>193</v>
      </c>
      <c r="F266" s="221">
        <v>24000</v>
      </c>
      <c r="G266" s="221">
        <f t="shared" si="108"/>
        <v>688.8</v>
      </c>
      <c r="H266" s="221">
        <f t="shared" si="109"/>
        <v>729.6</v>
      </c>
      <c r="I266" s="221"/>
      <c r="J266" s="220">
        <f t="shared" si="110"/>
        <v>1418.4</v>
      </c>
      <c r="K266" s="220">
        <f t="shared" si="101"/>
        <v>22581.599999999999</v>
      </c>
      <c r="L266" s="220">
        <f t="shared" si="94"/>
        <v>0</v>
      </c>
      <c r="M266" s="226">
        <v>2290.29</v>
      </c>
      <c r="N266" s="220">
        <f t="shared" si="95"/>
        <v>3708.6899999999996</v>
      </c>
      <c r="O266" s="84">
        <f t="shared" si="96"/>
        <v>20291.310000000001</v>
      </c>
    </row>
    <row r="267" spans="1:15" s="148" customFormat="1" ht="35.1" customHeight="1" x14ac:dyDescent="0.2">
      <c r="A267" s="242">
        <f t="shared" si="97"/>
        <v>134</v>
      </c>
      <c r="B267" s="72" t="s">
        <v>571</v>
      </c>
      <c r="C267" s="73" t="s">
        <v>339</v>
      </c>
      <c r="D267" s="72" t="s">
        <v>23</v>
      </c>
      <c r="E267" s="72" t="s">
        <v>193</v>
      </c>
      <c r="F267" s="221">
        <v>24000</v>
      </c>
      <c r="G267" s="221">
        <f t="shared" ref="G267:G273" si="111">F267*2.87%</f>
        <v>688.8</v>
      </c>
      <c r="H267" s="221">
        <f t="shared" ref="H267:H273" si="112">+F267*3.04%</f>
        <v>729.6</v>
      </c>
      <c r="I267" s="221"/>
      <c r="J267" s="220">
        <f t="shared" ref="J267:J273" si="113">+G267+H267+I267</f>
        <v>1418.4</v>
      </c>
      <c r="K267" s="220">
        <f t="shared" ref="K267:K273" si="114">+F267-J267</f>
        <v>22581.599999999999</v>
      </c>
      <c r="L267" s="220">
        <f t="shared" si="94"/>
        <v>0</v>
      </c>
      <c r="M267" s="226">
        <v>5435.62</v>
      </c>
      <c r="N267" s="220">
        <f t="shared" si="95"/>
        <v>6854.02</v>
      </c>
      <c r="O267" s="84">
        <f t="shared" si="96"/>
        <v>17145.98</v>
      </c>
    </row>
    <row r="268" spans="1:15" s="223" customFormat="1" ht="35.1" customHeight="1" x14ac:dyDescent="0.2">
      <c r="A268" s="242">
        <f t="shared" si="97"/>
        <v>135</v>
      </c>
      <c r="B268" s="72" t="s">
        <v>572</v>
      </c>
      <c r="C268" s="73" t="s">
        <v>339</v>
      </c>
      <c r="D268" s="72" t="s">
        <v>23</v>
      </c>
      <c r="E268" s="72" t="s">
        <v>193</v>
      </c>
      <c r="F268" s="221">
        <v>24000</v>
      </c>
      <c r="G268" s="221">
        <f t="shared" si="111"/>
        <v>688.8</v>
      </c>
      <c r="H268" s="221">
        <f t="shared" si="112"/>
        <v>729.6</v>
      </c>
      <c r="I268" s="221"/>
      <c r="J268" s="220">
        <f t="shared" si="113"/>
        <v>1418.4</v>
      </c>
      <c r="K268" s="220">
        <f t="shared" si="114"/>
        <v>22581.599999999999</v>
      </c>
      <c r="L268" s="220">
        <f t="shared" si="94"/>
        <v>0</v>
      </c>
      <c r="M268" s="226">
        <v>2290.29</v>
      </c>
      <c r="N268" s="220">
        <f t="shared" si="95"/>
        <v>3708.6899999999996</v>
      </c>
      <c r="O268" s="84">
        <f t="shared" si="96"/>
        <v>20291.310000000001</v>
      </c>
    </row>
    <row r="269" spans="1:15" s="223" customFormat="1" ht="35.1" customHeight="1" x14ac:dyDescent="0.2">
      <c r="A269" s="242">
        <f t="shared" si="97"/>
        <v>136</v>
      </c>
      <c r="B269" s="72" t="s">
        <v>573</v>
      </c>
      <c r="C269" s="307" t="s">
        <v>338</v>
      </c>
      <c r="D269" s="72" t="s">
        <v>23</v>
      </c>
      <c r="E269" s="72" t="s">
        <v>193</v>
      </c>
      <c r="F269" s="221">
        <v>24000</v>
      </c>
      <c r="G269" s="221">
        <f t="shared" si="111"/>
        <v>688.8</v>
      </c>
      <c r="H269" s="221">
        <f t="shared" si="112"/>
        <v>729.6</v>
      </c>
      <c r="I269" s="221"/>
      <c r="J269" s="220">
        <f t="shared" si="113"/>
        <v>1418.4</v>
      </c>
      <c r="K269" s="220">
        <f t="shared" si="114"/>
        <v>22581.599999999999</v>
      </c>
      <c r="L269" s="220">
        <f t="shared" si="94"/>
        <v>0</v>
      </c>
      <c r="M269" s="226">
        <v>1090.29</v>
      </c>
      <c r="N269" s="220">
        <f t="shared" si="95"/>
        <v>2508.6899999999996</v>
      </c>
      <c r="O269" s="84">
        <f t="shared" si="96"/>
        <v>21491.31</v>
      </c>
    </row>
    <row r="270" spans="1:15" s="223" customFormat="1" ht="35.1" customHeight="1" x14ac:dyDescent="0.2">
      <c r="A270" s="242">
        <f t="shared" si="97"/>
        <v>137</v>
      </c>
      <c r="B270" s="72" t="s">
        <v>584</v>
      </c>
      <c r="C270" s="307" t="s">
        <v>338</v>
      </c>
      <c r="D270" s="72" t="s">
        <v>23</v>
      </c>
      <c r="E270" s="72" t="s">
        <v>193</v>
      </c>
      <c r="F270" s="221">
        <v>24000</v>
      </c>
      <c r="G270" s="221">
        <f t="shared" si="111"/>
        <v>688.8</v>
      </c>
      <c r="H270" s="221">
        <f t="shared" si="112"/>
        <v>729.6</v>
      </c>
      <c r="I270" s="221"/>
      <c r="J270" s="220">
        <f t="shared" si="113"/>
        <v>1418.4</v>
      </c>
      <c r="K270" s="220">
        <f t="shared" si="114"/>
        <v>22581.599999999999</v>
      </c>
      <c r="L270" s="220">
        <f t="shared" si="94"/>
        <v>0</v>
      </c>
      <c r="M270" s="226">
        <v>225</v>
      </c>
      <c r="N270" s="220">
        <f t="shared" si="95"/>
        <v>1643.4</v>
      </c>
      <c r="O270" s="84">
        <f t="shared" si="96"/>
        <v>22356.6</v>
      </c>
    </row>
    <row r="271" spans="1:15" s="223" customFormat="1" ht="35.1" customHeight="1" x14ac:dyDescent="0.2">
      <c r="A271" s="242">
        <f t="shared" si="97"/>
        <v>138</v>
      </c>
      <c r="B271" s="72" t="s">
        <v>585</v>
      </c>
      <c r="C271" s="307" t="s">
        <v>339</v>
      </c>
      <c r="D271" s="72" t="s">
        <v>23</v>
      </c>
      <c r="E271" s="72" t="s">
        <v>193</v>
      </c>
      <c r="F271" s="221">
        <v>24000</v>
      </c>
      <c r="G271" s="221">
        <f t="shared" si="111"/>
        <v>688.8</v>
      </c>
      <c r="H271" s="221">
        <f t="shared" si="112"/>
        <v>729.6</v>
      </c>
      <c r="I271" s="221"/>
      <c r="J271" s="220">
        <f t="shared" si="113"/>
        <v>1418.4</v>
      </c>
      <c r="K271" s="220">
        <f t="shared" si="114"/>
        <v>22581.599999999999</v>
      </c>
      <c r="L271" s="220">
        <f t="shared" si="94"/>
        <v>0</v>
      </c>
      <c r="M271" s="226">
        <v>1290.29</v>
      </c>
      <c r="N271" s="220">
        <f t="shared" si="95"/>
        <v>2708.6899999999996</v>
      </c>
      <c r="O271" s="84">
        <f t="shared" si="96"/>
        <v>21291.31</v>
      </c>
    </row>
    <row r="272" spans="1:15" s="223" customFormat="1" ht="35.1" customHeight="1" x14ac:dyDescent="0.2">
      <c r="A272" s="242">
        <f t="shared" si="97"/>
        <v>139</v>
      </c>
      <c r="B272" s="72" t="s">
        <v>605</v>
      </c>
      <c r="C272" s="307" t="s">
        <v>339</v>
      </c>
      <c r="D272" s="72" t="s">
        <v>23</v>
      </c>
      <c r="E272" s="72" t="s">
        <v>193</v>
      </c>
      <c r="F272" s="221">
        <v>24000</v>
      </c>
      <c r="G272" s="221">
        <f t="shared" si="111"/>
        <v>688.8</v>
      </c>
      <c r="H272" s="221">
        <f t="shared" si="112"/>
        <v>729.6</v>
      </c>
      <c r="I272" s="221"/>
      <c r="J272" s="220">
        <f t="shared" si="113"/>
        <v>1418.4</v>
      </c>
      <c r="K272" s="220">
        <f t="shared" si="114"/>
        <v>22581.599999999999</v>
      </c>
      <c r="L272" s="220">
        <f t="shared" si="94"/>
        <v>0</v>
      </c>
      <c r="M272" s="226">
        <v>790.29</v>
      </c>
      <c r="N272" s="220">
        <f t="shared" si="95"/>
        <v>2208.6899999999996</v>
      </c>
      <c r="O272" s="84">
        <f t="shared" si="96"/>
        <v>21791.31</v>
      </c>
    </row>
    <row r="273" spans="1:15" s="223" customFormat="1" ht="35.1" customHeight="1" x14ac:dyDescent="0.2">
      <c r="A273" s="242">
        <f t="shared" si="97"/>
        <v>140</v>
      </c>
      <c r="B273" s="72" t="s">
        <v>616</v>
      </c>
      <c r="C273" s="307" t="s">
        <v>339</v>
      </c>
      <c r="D273" s="72" t="s">
        <v>23</v>
      </c>
      <c r="E273" s="72" t="s">
        <v>193</v>
      </c>
      <c r="F273" s="221">
        <v>24000</v>
      </c>
      <c r="G273" s="221">
        <f t="shared" si="111"/>
        <v>688.8</v>
      </c>
      <c r="H273" s="221">
        <f t="shared" si="112"/>
        <v>729.6</v>
      </c>
      <c r="I273" s="221"/>
      <c r="J273" s="220">
        <f t="shared" si="113"/>
        <v>1418.4</v>
      </c>
      <c r="K273" s="220">
        <f t="shared" si="114"/>
        <v>22581.599999999999</v>
      </c>
      <c r="L273" s="220">
        <f t="shared" si="94"/>
        <v>0</v>
      </c>
      <c r="M273" s="226">
        <v>790.29</v>
      </c>
      <c r="N273" s="220">
        <f t="shared" si="95"/>
        <v>2208.6899999999996</v>
      </c>
      <c r="O273" s="84">
        <f t="shared" si="96"/>
        <v>21791.31</v>
      </c>
    </row>
    <row r="274" spans="1:15" s="248" customFormat="1" ht="35.1" customHeight="1" x14ac:dyDescent="0.2">
      <c r="A274" s="228" t="s">
        <v>100</v>
      </c>
      <c r="B274" s="229"/>
      <c r="C274" s="229"/>
      <c r="D274" s="229"/>
      <c r="E274" s="245"/>
      <c r="F274" s="230">
        <f t="shared" ref="F274:O274" si="115">SUM(F242:F273)</f>
        <v>970000</v>
      </c>
      <c r="G274" s="230">
        <f t="shared" si="115"/>
        <v>27838.999999999985</v>
      </c>
      <c r="H274" s="230">
        <f t="shared" si="115"/>
        <v>29487.999999999978</v>
      </c>
      <c r="I274" s="230">
        <f t="shared" si="115"/>
        <v>7679.12</v>
      </c>
      <c r="J274" s="230">
        <f t="shared" si="115"/>
        <v>65006.120000000032</v>
      </c>
      <c r="K274" s="230">
        <f t="shared" si="115"/>
        <v>904993.87999999942</v>
      </c>
      <c r="L274" s="230">
        <f t="shared" si="115"/>
        <v>7839.4044999999978</v>
      </c>
      <c r="M274" s="230">
        <f t="shared" si="115"/>
        <v>94688.469999999958</v>
      </c>
      <c r="N274" s="230">
        <f t="shared" si="115"/>
        <v>167533.9945</v>
      </c>
      <c r="O274" s="230">
        <f t="shared" si="115"/>
        <v>802466.0055000002</v>
      </c>
    </row>
    <row r="275" spans="1:15" s="224" customFormat="1" ht="35.1" customHeight="1" thickBot="1" x14ac:dyDescent="0.25">
      <c r="A275" s="146"/>
      <c r="B275" s="146"/>
      <c r="C275" s="146"/>
      <c r="D275" s="146"/>
      <c r="E275" s="146"/>
      <c r="F275" s="231"/>
      <c r="G275" s="231"/>
      <c r="H275" s="231"/>
      <c r="I275" s="231"/>
      <c r="J275" s="231"/>
      <c r="K275" s="231"/>
      <c r="L275" s="231"/>
      <c r="M275" s="231"/>
      <c r="N275" s="231"/>
      <c r="O275" s="231"/>
    </row>
    <row r="276" spans="1:15" s="224" customFormat="1" ht="35.1" customHeight="1" thickBot="1" x14ac:dyDescent="0.25">
      <c r="A276" s="234" t="s">
        <v>269</v>
      </c>
      <c r="B276" s="235"/>
      <c r="C276" s="235"/>
      <c r="D276" s="235"/>
      <c r="E276" s="235"/>
      <c r="F276" s="235"/>
      <c r="G276" s="235"/>
      <c r="H276" s="235"/>
      <c r="I276" s="235"/>
      <c r="J276" s="235"/>
      <c r="K276" s="235"/>
      <c r="L276" s="235"/>
      <c r="M276" s="235"/>
      <c r="N276" s="235"/>
      <c r="O276" s="235"/>
    </row>
    <row r="277" spans="1:15" s="224" customFormat="1" ht="35.1" customHeight="1" x14ac:dyDescent="0.2">
      <c r="A277" s="73">
        <f>+A245+1</f>
        <v>113</v>
      </c>
      <c r="B277" s="72" t="s">
        <v>271</v>
      </c>
      <c r="C277" s="73" t="s">
        <v>338</v>
      </c>
      <c r="D277" s="72" t="s">
        <v>270</v>
      </c>
      <c r="E277" s="72" t="s">
        <v>193</v>
      </c>
      <c r="F277" s="221">
        <v>55000</v>
      </c>
      <c r="G277" s="68">
        <f>F277*2.87%</f>
        <v>1578.5</v>
      </c>
      <c r="H277" s="68">
        <f>+F277*3.04%</f>
        <v>1672</v>
      </c>
      <c r="I277" s="68">
        <v>1919.78</v>
      </c>
      <c r="J277" s="69">
        <f>+G277+H277+I277</f>
        <v>5170.28</v>
      </c>
      <c r="K277" s="69">
        <f>+F277-J277</f>
        <v>49829.72</v>
      </c>
      <c r="L277" s="69">
        <f t="shared" ref="L277:L280" si="116">+IF(K277*12&lt;=416220.01,0,IF(K277*12&lt;=624329.01,(((K277*12-416220.01)*0.15)/12),IF((K277*12&lt;=867123.01),(31216+0.2*(K277*12-624329.01))/12,((79776+0.25*(K277*12-867123.01))/12))))</f>
        <v>2271.7078750000001</v>
      </c>
      <c r="M277" s="226">
        <v>225</v>
      </c>
      <c r="N277" s="220">
        <f>+M277+I277+H277+G277+L277</f>
        <v>7666.9878749999998</v>
      </c>
      <c r="O277" s="84">
        <f>+F277-N277</f>
        <v>47333.012125000001</v>
      </c>
    </row>
    <row r="278" spans="1:15" s="224" customFormat="1" ht="35.1" customHeight="1" x14ac:dyDescent="0.2">
      <c r="A278" s="73">
        <v>114</v>
      </c>
      <c r="B278" s="221" t="s">
        <v>525</v>
      </c>
      <c r="C278" s="281" t="s">
        <v>338</v>
      </c>
      <c r="D278" s="72" t="s">
        <v>270</v>
      </c>
      <c r="E278" s="72" t="s">
        <v>193</v>
      </c>
      <c r="F278" s="226">
        <v>50000</v>
      </c>
      <c r="G278" s="221">
        <f>F278*2.87%</f>
        <v>1435</v>
      </c>
      <c r="H278" s="221">
        <f>+F278*3.04%</f>
        <v>1520</v>
      </c>
      <c r="I278" s="68">
        <v>1919.78</v>
      </c>
      <c r="J278" s="69">
        <f>+G278+H278+I278</f>
        <v>4874.78</v>
      </c>
      <c r="K278" s="69">
        <f>+F278-J278</f>
        <v>45125.22</v>
      </c>
      <c r="L278" s="69">
        <f>+IF(K278*12&lt;=416220.01,0,IF(K278*12&lt;=624329.01,(((K278*12-416220.01)*0.15)/12),IF((K278*12&lt;=867123.01),(31216+0.2*(K278*12-624329.01))/12,((79776+0.25*(K278*12-867123.01))/12))))</f>
        <v>1566.0328749999999</v>
      </c>
      <c r="M278" s="220">
        <v>3458.61</v>
      </c>
      <c r="N278" s="220">
        <f>+M278+I278+H278+G278+L278</f>
        <v>9899.4228750000002</v>
      </c>
      <c r="O278" s="84">
        <f>+F278-N278</f>
        <v>40100.577124999996</v>
      </c>
    </row>
    <row r="279" spans="1:15" s="224" customFormat="1" ht="35.1" customHeight="1" x14ac:dyDescent="0.2">
      <c r="A279" s="73">
        <v>115</v>
      </c>
      <c r="B279" s="72" t="s">
        <v>265</v>
      </c>
      <c r="C279" s="73" t="s">
        <v>338</v>
      </c>
      <c r="D279" s="72" t="s">
        <v>117</v>
      </c>
      <c r="E279" s="72" t="s">
        <v>193</v>
      </c>
      <c r="F279" s="221">
        <v>28000</v>
      </c>
      <c r="G279" s="221">
        <f t="shared" ref="G279:G281" si="117">F279*2.87%</f>
        <v>803.6</v>
      </c>
      <c r="H279" s="221">
        <f t="shared" ref="H279:H281" si="118">+F279*3.04%</f>
        <v>851.2</v>
      </c>
      <c r="I279" s="68"/>
      <c r="J279" s="69">
        <f t="shared" ref="J279" si="119">+G279+H279+I279</f>
        <v>1654.8000000000002</v>
      </c>
      <c r="K279" s="69">
        <f t="shared" ref="K279" si="120">+F279-J279</f>
        <v>26345.200000000001</v>
      </c>
      <c r="L279" s="69">
        <f t="shared" si="116"/>
        <v>0</v>
      </c>
      <c r="M279" s="226">
        <v>8553.8700000000008</v>
      </c>
      <c r="N279" s="69">
        <f>+M279+I279+H279+G279+L279</f>
        <v>10208.670000000002</v>
      </c>
      <c r="O279" s="84">
        <f>+F279-N279</f>
        <v>17791.329999999998</v>
      </c>
    </row>
    <row r="280" spans="1:15" s="224" customFormat="1" ht="35.1" customHeight="1" x14ac:dyDescent="0.2">
      <c r="A280" s="73">
        <v>116</v>
      </c>
      <c r="B280" s="221" t="s">
        <v>557</v>
      </c>
      <c r="C280" s="281" t="s">
        <v>338</v>
      </c>
      <c r="D280" s="247" t="s">
        <v>117</v>
      </c>
      <c r="E280" s="72" t="s">
        <v>193</v>
      </c>
      <c r="F280" s="239">
        <v>24000</v>
      </c>
      <c r="G280" s="68">
        <f t="shared" si="117"/>
        <v>688.8</v>
      </c>
      <c r="H280" s="68">
        <f t="shared" si="118"/>
        <v>729.6</v>
      </c>
      <c r="I280" s="68"/>
      <c r="J280" s="69">
        <f t="shared" si="83"/>
        <v>1418.4</v>
      </c>
      <c r="K280" s="69">
        <f>+F280-J280</f>
        <v>22581.599999999999</v>
      </c>
      <c r="L280" s="69">
        <f t="shared" si="116"/>
        <v>0</v>
      </c>
      <c r="M280" s="69">
        <v>25</v>
      </c>
      <c r="N280" s="220">
        <f>+M280+I280+H280+G280+L280</f>
        <v>1443.4</v>
      </c>
      <c r="O280" s="84">
        <f>+F280-N280</f>
        <v>22556.6</v>
      </c>
    </row>
    <row r="281" spans="1:15" s="224" customFormat="1" ht="35.1" customHeight="1" x14ac:dyDescent="0.2">
      <c r="A281" s="73">
        <v>117</v>
      </c>
      <c r="B281" s="221" t="s">
        <v>649</v>
      </c>
      <c r="C281" s="281" t="s">
        <v>338</v>
      </c>
      <c r="D281" s="247" t="s">
        <v>117</v>
      </c>
      <c r="E281" s="72" t="s">
        <v>193</v>
      </c>
      <c r="F281" s="239">
        <v>24000</v>
      </c>
      <c r="G281" s="68">
        <f t="shared" si="117"/>
        <v>688.8</v>
      </c>
      <c r="H281" s="68">
        <f t="shared" si="118"/>
        <v>729.6</v>
      </c>
      <c r="I281" s="68"/>
      <c r="J281" s="69">
        <f t="shared" si="83"/>
        <v>1418.4</v>
      </c>
      <c r="K281" s="69">
        <f>+F281-J281</f>
        <v>22581.599999999999</v>
      </c>
      <c r="L281" s="69"/>
      <c r="M281" s="69">
        <v>25</v>
      </c>
      <c r="N281" s="220">
        <f>+M281+I281+H281+G281+L281</f>
        <v>1443.4</v>
      </c>
      <c r="O281" s="84">
        <f>+F281-N281</f>
        <v>22556.6</v>
      </c>
    </row>
    <row r="282" spans="1:15" s="224" customFormat="1" ht="35.1" customHeight="1" thickBot="1" x14ac:dyDescent="0.25">
      <c r="A282" s="228" t="s">
        <v>100</v>
      </c>
      <c r="B282" s="229"/>
      <c r="C282" s="229"/>
      <c r="D282" s="229"/>
      <c r="E282" s="245"/>
      <c r="F282" s="230">
        <f t="shared" ref="F282:O282" si="121">SUM(F277:F281)</f>
        <v>181000</v>
      </c>
      <c r="G282" s="230">
        <f t="shared" si="121"/>
        <v>5194.7</v>
      </c>
      <c r="H282" s="230">
        <f t="shared" si="121"/>
        <v>5502.4000000000005</v>
      </c>
      <c r="I282" s="230">
        <f t="shared" si="121"/>
        <v>3839.56</v>
      </c>
      <c r="J282" s="230">
        <f t="shared" si="121"/>
        <v>14536.66</v>
      </c>
      <c r="K282" s="230">
        <f t="shared" si="121"/>
        <v>166463.34</v>
      </c>
      <c r="L282" s="230">
        <f t="shared" si="121"/>
        <v>3837.7407499999999</v>
      </c>
      <c r="M282" s="230">
        <f t="shared" si="121"/>
        <v>12287.480000000001</v>
      </c>
      <c r="N282" s="230">
        <f t="shared" si="121"/>
        <v>30661.880750000004</v>
      </c>
      <c r="O282" s="230">
        <f t="shared" si="121"/>
        <v>150338.11924999999</v>
      </c>
    </row>
    <row r="283" spans="1:15" s="224" customFormat="1" ht="35.1" customHeight="1" thickBot="1" x14ac:dyDescent="0.25">
      <c r="A283" s="234" t="s">
        <v>272</v>
      </c>
      <c r="B283" s="235"/>
      <c r="C283" s="235"/>
      <c r="D283" s="235"/>
      <c r="E283" s="235"/>
      <c r="F283" s="235"/>
      <c r="G283" s="235"/>
      <c r="H283" s="235"/>
      <c r="I283" s="235"/>
      <c r="J283" s="235"/>
      <c r="K283" s="235"/>
      <c r="L283" s="235"/>
      <c r="M283" s="235"/>
      <c r="N283" s="235"/>
      <c r="O283" s="235"/>
    </row>
    <row r="284" spans="1:15" s="224" customFormat="1" ht="35.1" customHeight="1" x14ac:dyDescent="0.2">
      <c r="A284" s="73">
        <f>+A281+1</f>
        <v>118</v>
      </c>
      <c r="B284" s="72" t="s">
        <v>107</v>
      </c>
      <c r="C284" s="73" t="s">
        <v>338</v>
      </c>
      <c r="D284" s="72" t="s">
        <v>109</v>
      </c>
      <c r="E284" s="72" t="s">
        <v>193</v>
      </c>
      <c r="F284" s="221">
        <v>60000</v>
      </c>
      <c r="G284" s="221">
        <f>F284*2.87%</f>
        <v>1722</v>
      </c>
      <c r="H284" s="221">
        <f>+F284*3.04%</f>
        <v>1824</v>
      </c>
      <c r="I284" s="221"/>
      <c r="J284" s="220">
        <f t="shared" si="83"/>
        <v>3546</v>
      </c>
      <c r="K284" s="220">
        <f>+F284-J284</f>
        <v>56454</v>
      </c>
      <c r="L284" s="69">
        <f>+IF(K284*12&lt;=416220.01,0,IF(K284*12&lt;=624329.01,(((K284*12-416220.01)*0.15)/12),IF((K284*12&lt;=867123.01),(31216+0.2*(K284*12-624329.01))/12,((79776+0.25*(K284*12-867123.01))/12))))</f>
        <v>3486.6498333333329</v>
      </c>
      <c r="M284" s="226">
        <v>25</v>
      </c>
      <c r="N284" s="220">
        <f t="shared" ref="N284:N307" si="122">+M284+I284+H284+G284+L284</f>
        <v>7057.6498333333329</v>
      </c>
      <c r="O284" s="226">
        <f t="shared" ref="O284:O307" si="123">+F284-N284</f>
        <v>52942.350166666671</v>
      </c>
    </row>
    <row r="285" spans="1:15" s="224" customFormat="1" ht="35.1" customHeight="1" x14ac:dyDescent="0.2">
      <c r="A285" s="73">
        <f>+A284+1</f>
        <v>119</v>
      </c>
      <c r="B285" s="72" t="s">
        <v>24</v>
      </c>
      <c r="C285" s="73" t="s">
        <v>338</v>
      </c>
      <c r="D285" s="72" t="s">
        <v>109</v>
      </c>
      <c r="E285" s="72" t="s">
        <v>98</v>
      </c>
      <c r="F285" s="221">
        <v>60000</v>
      </c>
      <c r="G285" s="221">
        <f t="shared" ref="G285:G292" si="124">F285*2.87%</f>
        <v>1722</v>
      </c>
      <c r="H285" s="221">
        <f t="shared" ref="H285:H299" si="125">+F285*3.04%</f>
        <v>1824</v>
      </c>
      <c r="I285" s="221"/>
      <c r="J285" s="220">
        <f t="shared" si="83"/>
        <v>3546</v>
      </c>
      <c r="K285" s="220">
        <f t="shared" ref="K285:K306" si="126">+F285-J285</f>
        <v>56454</v>
      </c>
      <c r="L285" s="69">
        <f t="shared" ref="L285:L307" si="127">+IF(K285*12&lt;=416220.01,0,IF(K285*12&lt;=624329.01,(((K285*12-416220.01)*0.15)/12),IF((K285*12&lt;=867123.01),(31216+0.2*(K285*12-624329.01))/12,((79776+0.25*(K285*12-867123.01))/12))))</f>
        <v>3486.6498333333329</v>
      </c>
      <c r="M285" s="226">
        <v>265</v>
      </c>
      <c r="N285" s="220">
        <f t="shared" si="122"/>
        <v>7297.6498333333329</v>
      </c>
      <c r="O285" s="226">
        <f t="shared" si="123"/>
        <v>52702.350166666671</v>
      </c>
    </row>
    <row r="286" spans="1:15" s="149" customFormat="1" ht="35.1" customHeight="1" x14ac:dyDescent="0.2">
      <c r="A286" s="73">
        <f>+A285+1</f>
        <v>120</v>
      </c>
      <c r="B286" s="72" t="s">
        <v>473</v>
      </c>
      <c r="C286" s="73" t="s">
        <v>339</v>
      </c>
      <c r="D286" s="88" t="s">
        <v>13</v>
      </c>
      <c r="E286" s="72" t="s">
        <v>193</v>
      </c>
      <c r="F286" s="221">
        <v>38000</v>
      </c>
      <c r="G286" s="221">
        <f>F286*2.87%</f>
        <v>1090.5999999999999</v>
      </c>
      <c r="H286" s="221">
        <f>+F286*3.04%</f>
        <v>1155.2</v>
      </c>
      <c r="I286" s="221"/>
      <c r="J286" s="220">
        <f>+G286+H286+I286</f>
        <v>2245.8000000000002</v>
      </c>
      <c r="K286" s="220">
        <f>+F286-J286</f>
        <v>35754.199999999997</v>
      </c>
      <c r="L286" s="69">
        <f t="shared" si="127"/>
        <v>160.37987499999943</v>
      </c>
      <c r="M286" s="226">
        <v>2323.69</v>
      </c>
      <c r="N286" s="220">
        <f t="shared" si="122"/>
        <v>4729.8698749999994</v>
      </c>
      <c r="O286" s="220">
        <f t="shared" si="123"/>
        <v>33270.130125000003</v>
      </c>
    </row>
    <row r="287" spans="1:15" s="149" customFormat="1" ht="35.1" customHeight="1" x14ac:dyDescent="0.2">
      <c r="A287" s="73">
        <f>+A286+1</f>
        <v>121</v>
      </c>
      <c r="B287" s="72" t="s">
        <v>273</v>
      </c>
      <c r="C287" s="73" t="s">
        <v>338</v>
      </c>
      <c r="D287" s="72" t="s">
        <v>26</v>
      </c>
      <c r="E287" s="72" t="s">
        <v>193</v>
      </c>
      <c r="F287" s="221">
        <v>36000</v>
      </c>
      <c r="G287" s="221">
        <f t="shared" si="124"/>
        <v>1033.2</v>
      </c>
      <c r="H287" s="221">
        <f t="shared" si="125"/>
        <v>1094.4000000000001</v>
      </c>
      <c r="I287" s="221"/>
      <c r="J287" s="220">
        <f t="shared" si="83"/>
        <v>2127.6000000000004</v>
      </c>
      <c r="K287" s="220">
        <f t="shared" si="126"/>
        <v>33872.400000000001</v>
      </c>
      <c r="L287" s="69">
        <f t="shared" si="127"/>
        <v>0</v>
      </c>
      <c r="M287" s="226">
        <v>345</v>
      </c>
      <c r="N287" s="220">
        <f t="shared" si="122"/>
        <v>2472.6000000000004</v>
      </c>
      <c r="O287" s="226">
        <f t="shared" si="123"/>
        <v>33527.4</v>
      </c>
    </row>
    <row r="288" spans="1:15" s="149" customFormat="1" ht="35.1" customHeight="1" x14ac:dyDescent="0.2">
      <c r="A288" s="73">
        <f>+A287+1</f>
        <v>122</v>
      </c>
      <c r="B288" s="72" t="s">
        <v>274</v>
      </c>
      <c r="C288" s="73" t="s">
        <v>338</v>
      </c>
      <c r="D288" s="72" t="s">
        <v>26</v>
      </c>
      <c r="E288" s="72" t="s">
        <v>193</v>
      </c>
      <c r="F288" s="221">
        <v>36000</v>
      </c>
      <c r="G288" s="221">
        <f t="shared" si="124"/>
        <v>1033.2</v>
      </c>
      <c r="H288" s="221">
        <f t="shared" si="125"/>
        <v>1094.4000000000001</v>
      </c>
      <c r="I288" s="221"/>
      <c r="J288" s="220">
        <f t="shared" si="83"/>
        <v>2127.6000000000004</v>
      </c>
      <c r="K288" s="220">
        <f t="shared" si="126"/>
        <v>33872.400000000001</v>
      </c>
      <c r="L288" s="69">
        <f t="shared" si="127"/>
        <v>0</v>
      </c>
      <c r="M288" s="226">
        <v>2290.29</v>
      </c>
      <c r="N288" s="220">
        <f t="shared" si="122"/>
        <v>4417.8900000000003</v>
      </c>
      <c r="O288" s="226">
        <f t="shared" si="123"/>
        <v>31582.11</v>
      </c>
    </row>
    <row r="289" spans="1:15" s="149" customFormat="1" ht="35.1" customHeight="1" x14ac:dyDescent="0.2">
      <c r="A289" s="73">
        <f t="shared" ref="A289:A300" si="128">+A288+1</f>
        <v>123</v>
      </c>
      <c r="B289" s="72" t="s">
        <v>62</v>
      </c>
      <c r="C289" s="73" t="s">
        <v>338</v>
      </c>
      <c r="D289" s="72" t="s">
        <v>26</v>
      </c>
      <c r="E289" s="72" t="s">
        <v>193</v>
      </c>
      <c r="F289" s="221">
        <v>36000</v>
      </c>
      <c r="G289" s="221">
        <f t="shared" si="124"/>
        <v>1033.2</v>
      </c>
      <c r="H289" s="221">
        <f t="shared" si="125"/>
        <v>1094.4000000000001</v>
      </c>
      <c r="I289" s="221"/>
      <c r="J289" s="220">
        <f t="shared" ref="J289:J299" si="129">+G289+H289+I289</f>
        <v>2127.6000000000004</v>
      </c>
      <c r="K289" s="220">
        <f t="shared" si="126"/>
        <v>33872.400000000001</v>
      </c>
      <c r="L289" s="69">
        <f t="shared" si="127"/>
        <v>0</v>
      </c>
      <c r="M289" s="226">
        <v>5083.78</v>
      </c>
      <c r="N289" s="220">
        <f t="shared" si="122"/>
        <v>7211.38</v>
      </c>
      <c r="O289" s="226">
        <f t="shared" si="123"/>
        <v>28788.62</v>
      </c>
    </row>
    <row r="290" spans="1:15" s="149" customFormat="1" ht="35.1" customHeight="1" x14ac:dyDescent="0.2">
      <c r="A290" s="73">
        <f t="shared" si="128"/>
        <v>124</v>
      </c>
      <c r="B290" s="72" t="s">
        <v>27</v>
      </c>
      <c r="C290" s="73" t="s">
        <v>338</v>
      </c>
      <c r="D290" s="72" t="s">
        <v>26</v>
      </c>
      <c r="E290" s="72" t="s">
        <v>193</v>
      </c>
      <c r="F290" s="221">
        <v>36000</v>
      </c>
      <c r="G290" s="221">
        <f t="shared" si="124"/>
        <v>1033.2</v>
      </c>
      <c r="H290" s="221">
        <f t="shared" si="125"/>
        <v>1094.4000000000001</v>
      </c>
      <c r="I290" s="221"/>
      <c r="J290" s="220">
        <f t="shared" si="129"/>
        <v>2127.6000000000004</v>
      </c>
      <c r="K290" s="220">
        <f t="shared" si="126"/>
        <v>33872.400000000001</v>
      </c>
      <c r="L290" s="69">
        <f t="shared" si="127"/>
        <v>0</v>
      </c>
      <c r="M290" s="226">
        <v>765</v>
      </c>
      <c r="N290" s="220">
        <f t="shared" si="122"/>
        <v>2892.6000000000004</v>
      </c>
      <c r="O290" s="226">
        <f t="shared" si="123"/>
        <v>33107.4</v>
      </c>
    </row>
    <row r="291" spans="1:15" s="149" customFormat="1" ht="35.1" customHeight="1" x14ac:dyDescent="0.2">
      <c r="A291" s="73">
        <f t="shared" si="128"/>
        <v>125</v>
      </c>
      <c r="B291" s="72" t="s">
        <v>108</v>
      </c>
      <c r="C291" s="73" t="s">
        <v>338</v>
      </c>
      <c r="D291" s="88" t="s">
        <v>110</v>
      </c>
      <c r="E291" s="72" t="s">
        <v>193</v>
      </c>
      <c r="F291" s="221">
        <v>35000</v>
      </c>
      <c r="G291" s="221">
        <f>F291*2.87%</f>
        <v>1004.5</v>
      </c>
      <c r="H291" s="221">
        <f>+F291*3.04%</f>
        <v>1064</v>
      </c>
      <c r="I291" s="221"/>
      <c r="J291" s="220">
        <f t="shared" si="129"/>
        <v>2068.5</v>
      </c>
      <c r="K291" s="220">
        <f t="shared" si="126"/>
        <v>32931.5</v>
      </c>
      <c r="L291" s="69">
        <f t="shared" si="127"/>
        <v>0</v>
      </c>
      <c r="M291" s="226">
        <v>25</v>
      </c>
      <c r="N291" s="220">
        <f t="shared" si="122"/>
        <v>2093.5</v>
      </c>
      <c r="O291" s="226">
        <f t="shared" si="123"/>
        <v>32906.5</v>
      </c>
    </row>
    <row r="292" spans="1:15" s="149" customFormat="1" ht="35.1" customHeight="1" x14ac:dyDescent="0.2">
      <c r="A292" s="73">
        <f>+A291+1</f>
        <v>126</v>
      </c>
      <c r="B292" s="72" t="s">
        <v>276</v>
      </c>
      <c r="C292" s="73" t="s">
        <v>338</v>
      </c>
      <c r="D292" s="88" t="s">
        <v>115</v>
      </c>
      <c r="E292" s="72" t="s">
        <v>193</v>
      </c>
      <c r="F292" s="221">
        <v>36000</v>
      </c>
      <c r="G292" s="221">
        <f t="shared" si="124"/>
        <v>1033.2</v>
      </c>
      <c r="H292" s="221">
        <f t="shared" si="125"/>
        <v>1094.4000000000001</v>
      </c>
      <c r="I292" s="221">
        <v>1919.78</v>
      </c>
      <c r="J292" s="220">
        <f t="shared" si="129"/>
        <v>4047.38</v>
      </c>
      <c r="K292" s="220">
        <f t="shared" si="126"/>
        <v>31952.62</v>
      </c>
      <c r="L292" s="69">
        <f t="shared" si="127"/>
        <v>0</v>
      </c>
      <c r="M292" s="226">
        <v>2290.29</v>
      </c>
      <c r="N292" s="220">
        <f t="shared" si="122"/>
        <v>6337.6699999999992</v>
      </c>
      <c r="O292" s="226">
        <f t="shared" si="123"/>
        <v>29662.33</v>
      </c>
    </row>
    <row r="293" spans="1:15" s="149" customFormat="1" ht="35.1" customHeight="1" x14ac:dyDescent="0.2">
      <c r="A293" s="73">
        <f t="shared" si="128"/>
        <v>127</v>
      </c>
      <c r="B293" s="72" t="s">
        <v>275</v>
      </c>
      <c r="C293" s="73" t="s">
        <v>338</v>
      </c>
      <c r="D293" s="72" t="s">
        <v>115</v>
      </c>
      <c r="E293" s="72" t="s">
        <v>193</v>
      </c>
      <c r="F293" s="221">
        <v>36000</v>
      </c>
      <c r="G293" s="221">
        <f t="shared" ref="G293:G296" si="130">F293*2.87%</f>
        <v>1033.2</v>
      </c>
      <c r="H293" s="221">
        <f t="shared" ref="H293:H296" si="131">+F293*3.04%</f>
        <v>1094.4000000000001</v>
      </c>
      <c r="I293" s="221"/>
      <c r="J293" s="220">
        <f t="shared" si="129"/>
        <v>2127.6000000000004</v>
      </c>
      <c r="K293" s="220">
        <f t="shared" si="126"/>
        <v>33872.400000000001</v>
      </c>
      <c r="L293" s="69">
        <f t="shared" si="127"/>
        <v>0</v>
      </c>
      <c r="M293" s="226">
        <v>1290.29</v>
      </c>
      <c r="N293" s="220">
        <f t="shared" si="122"/>
        <v>3417.8900000000003</v>
      </c>
      <c r="O293" s="226">
        <f t="shared" si="123"/>
        <v>32582.11</v>
      </c>
    </row>
    <row r="294" spans="1:15" s="224" customFormat="1" ht="35.1" customHeight="1" x14ac:dyDescent="0.2">
      <c r="A294" s="73">
        <f t="shared" si="128"/>
        <v>128</v>
      </c>
      <c r="B294" s="72" t="s">
        <v>277</v>
      </c>
      <c r="C294" s="73" t="s">
        <v>338</v>
      </c>
      <c r="D294" s="88" t="s">
        <v>110</v>
      </c>
      <c r="E294" s="72" t="s">
        <v>193</v>
      </c>
      <c r="F294" s="221">
        <v>35000</v>
      </c>
      <c r="G294" s="221">
        <f t="shared" si="130"/>
        <v>1004.5</v>
      </c>
      <c r="H294" s="221">
        <f t="shared" si="131"/>
        <v>1064</v>
      </c>
      <c r="I294" s="221"/>
      <c r="J294" s="220">
        <f>+G294+H294+I294</f>
        <v>2068.5</v>
      </c>
      <c r="K294" s="220">
        <f t="shared" si="126"/>
        <v>32931.5</v>
      </c>
      <c r="L294" s="69">
        <f t="shared" si="127"/>
        <v>0</v>
      </c>
      <c r="M294" s="226">
        <v>25</v>
      </c>
      <c r="N294" s="220">
        <f t="shared" si="122"/>
        <v>2093.5</v>
      </c>
      <c r="O294" s="226">
        <f t="shared" si="123"/>
        <v>32906.5</v>
      </c>
    </row>
    <row r="295" spans="1:15" s="148" customFormat="1" ht="35.1" customHeight="1" x14ac:dyDescent="0.2">
      <c r="A295" s="73">
        <f t="shared" si="128"/>
        <v>129</v>
      </c>
      <c r="B295" s="72" t="s">
        <v>373</v>
      </c>
      <c r="C295" s="73" t="s">
        <v>338</v>
      </c>
      <c r="D295" s="88" t="s">
        <v>374</v>
      </c>
      <c r="E295" s="72" t="s">
        <v>193</v>
      </c>
      <c r="F295" s="221">
        <v>36000</v>
      </c>
      <c r="G295" s="221">
        <f t="shared" si="130"/>
        <v>1033.2</v>
      </c>
      <c r="H295" s="221">
        <f t="shared" si="131"/>
        <v>1094.4000000000001</v>
      </c>
      <c r="I295" s="221">
        <v>1919.78</v>
      </c>
      <c r="J295" s="220">
        <f>+G295+H295+I295</f>
        <v>4047.38</v>
      </c>
      <c r="K295" s="220">
        <f t="shared" si="126"/>
        <v>31952.62</v>
      </c>
      <c r="L295" s="69">
        <f t="shared" si="127"/>
        <v>0</v>
      </c>
      <c r="M295" s="226">
        <v>4161.88</v>
      </c>
      <c r="N295" s="220">
        <f t="shared" si="122"/>
        <v>8209.26</v>
      </c>
      <c r="O295" s="226">
        <f t="shared" si="123"/>
        <v>27790.739999999998</v>
      </c>
    </row>
    <row r="296" spans="1:15" s="224" customFormat="1" ht="35.1" customHeight="1" x14ac:dyDescent="0.2">
      <c r="A296" s="73">
        <f t="shared" si="128"/>
        <v>130</v>
      </c>
      <c r="B296" s="72" t="s">
        <v>417</v>
      </c>
      <c r="C296" s="73" t="s">
        <v>338</v>
      </c>
      <c r="D296" s="72" t="s">
        <v>110</v>
      </c>
      <c r="E296" s="72" t="s">
        <v>193</v>
      </c>
      <c r="F296" s="221">
        <v>36000</v>
      </c>
      <c r="G296" s="221">
        <f t="shared" si="130"/>
        <v>1033.2</v>
      </c>
      <c r="H296" s="221">
        <f t="shared" si="131"/>
        <v>1094.4000000000001</v>
      </c>
      <c r="I296" s="221"/>
      <c r="J296" s="220">
        <f>+G296+H296+I296</f>
        <v>2127.6000000000004</v>
      </c>
      <c r="K296" s="220">
        <f t="shared" si="126"/>
        <v>33872.400000000001</v>
      </c>
      <c r="L296" s="69">
        <f t="shared" si="127"/>
        <v>0</v>
      </c>
      <c r="M296" s="226">
        <v>3330.29</v>
      </c>
      <c r="N296" s="220">
        <f t="shared" si="122"/>
        <v>5457.89</v>
      </c>
      <c r="O296" s="226">
        <f t="shared" si="123"/>
        <v>30542.11</v>
      </c>
    </row>
    <row r="297" spans="1:15" s="224" customFormat="1" ht="35.1" customHeight="1" x14ac:dyDescent="0.2">
      <c r="A297" s="73">
        <f>+A296+1</f>
        <v>131</v>
      </c>
      <c r="B297" s="72" t="s">
        <v>280</v>
      </c>
      <c r="C297" s="73" t="s">
        <v>338</v>
      </c>
      <c r="D297" s="88" t="s">
        <v>374</v>
      </c>
      <c r="E297" s="72" t="s">
        <v>98</v>
      </c>
      <c r="F297" s="221">
        <v>32000</v>
      </c>
      <c r="G297" s="221">
        <f>F297*2.87%</f>
        <v>918.4</v>
      </c>
      <c r="H297" s="221">
        <f>+F297*3.04%</f>
        <v>972.8</v>
      </c>
      <c r="I297" s="221"/>
      <c r="J297" s="220">
        <f>+G297+H297+I297</f>
        <v>1891.1999999999998</v>
      </c>
      <c r="K297" s="220">
        <f>+F297-J297</f>
        <v>30108.799999999999</v>
      </c>
      <c r="L297" s="69">
        <f t="shared" si="127"/>
        <v>0</v>
      </c>
      <c r="M297" s="226">
        <v>65</v>
      </c>
      <c r="N297" s="220">
        <f t="shared" si="122"/>
        <v>1956.1999999999998</v>
      </c>
      <c r="O297" s="226">
        <f t="shared" si="123"/>
        <v>30043.8</v>
      </c>
    </row>
    <row r="298" spans="1:15" s="224" customFormat="1" ht="35.1" customHeight="1" x14ac:dyDescent="0.2">
      <c r="A298" s="73">
        <f>+A297+1</f>
        <v>132</v>
      </c>
      <c r="B298" s="72" t="s">
        <v>526</v>
      </c>
      <c r="C298" s="73" t="s">
        <v>338</v>
      </c>
      <c r="D298" s="88" t="s">
        <v>110</v>
      </c>
      <c r="E298" s="72" t="s">
        <v>193</v>
      </c>
      <c r="F298" s="221">
        <v>30000</v>
      </c>
      <c r="G298" s="221">
        <f t="shared" ref="G298:G306" si="132">F298*2.87%</f>
        <v>861</v>
      </c>
      <c r="H298" s="221">
        <f t="shared" si="125"/>
        <v>912</v>
      </c>
      <c r="I298" s="221"/>
      <c r="J298" s="220">
        <f t="shared" si="129"/>
        <v>1773</v>
      </c>
      <c r="K298" s="220">
        <f t="shared" si="126"/>
        <v>28227</v>
      </c>
      <c r="L298" s="69">
        <f t="shared" si="127"/>
        <v>0</v>
      </c>
      <c r="M298" s="226">
        <v>2290.29</v>
      </c>
      <c r="N298" s="220">
        <f t="shared" si="122"/>
        <v>4063.29</v>
      </c>
      <c r="O298" s="226">
        <f t="shared" si="123"/>
        <v>25936.71</v>
      </c>
    </row>
    <row r="299" spans="1:15" s="224" customFormat="1" ht="35.1" customHeight="1" x14ac:dyDescent="0.2">
      <c r="A299" s="73">
        <f>+A298+1</f>
        <v>133</v>
      </c>
      <c r="B299" s="72" t="s">
        <v>527</v>
      </c>
      <c r="C299" s="73" t="s">
        <v>338</v>
      </c>
      <c r="D299" s="88" t="s">
        <v>110</v>
      </c>
      <c r="E299" s="72" t="s">
        <v>193</v>
      </c>
      <c r="F299" s="221">
        <v>36000</v>
      </c>
      <c r="G299" s="221">
        <f t="shared" si="132"/>
        <v>1033.2</v>
      </c>
      <c r="H299" s="221">
        <f t="shared" si="125"/>
        <v>1094.4000000000001</v>
      </c>
      <c r="I299" s="221"/>
      <c r="J299" s="220">
        <f t="shared" si="129"/>
        <v>2127.6000000000004</v>
      </c>
      <c r="K299" s="220">
        <f t="shared" si="126"/>
        <v>33872.400000000001</v>
      </c>
      <c r="L299" s="69">
        <f t="shared" si="127"/>
        <v>0</v>
      </c>
      <c r="M299" s="226">
        <v>4352.08</v>
      </c>
      <c r="N299" s="220">
        <f t="shared" si="122"/>
        <v>6479.6799999999994</v>
      </c>
      <c r="O299" s="226">
        <f t="shared" si="123"/>
        <v>29520.32</v>
      </c>
    </row>
    <row r="300" spans="1:15" s="224" customFormat="1" ht="35.1" customHeight="1" x14ac:dyDescent="0.2">
      <c r="A300" s="73">
        <f t="shared" si="128"/>
        <v>134</v>
      </c>
      <c r="B300" s="265" t="s">
        <v>492</v>
      </c>
      <c r="C300" s="73" t="s">
        <v>338</v>
      </c>
      <c r="D300" s="72" t="s">
        <v>110</v>
      </c>
      <c r="E300" s="72" t="s">
        <v>193</v>
      </c>
      <c r="F300" s="221">
        <v>36000</v>
      </c>
      <c r="G300" s="221">
        <f t="shared" si="132"/>
        <v>1033.2</v>
      </c>
      <c r="H300" s="221">
        <f>+F300*3.04%</f>
        <v>1094.4000000000001</v>
      </c>
      <c r="I300" s="221"/>
      <c r="J300" s="220">
        <f>+G300+H300+I300</f>
        <v>2127.6000000000004</v>
      </c>
      <c r="K300" s="220">
        <f t="shared" si="126"/>
        <v>33872.400000000001</v>
      </c>
      <c r="L300" s="69">
        <f t="shared" si="127"/>
        <v>0</v>
      </c>
      <c r="M300" s="226">
        <v>1290.29</v>
      </c>
      <c r="N300" s="220">
        <f t="shared" si="122"/>
        <v>3417.8900000000003</v>
      </c>
      <c r="O300" s="226">
        <f t="shared" si="123"/>
        <v>32582.11</v>
      </c>
    </row>
    <row r="301" spans="1:15" s="224" customFormat="1" ht="35.1" customHeight="1" x14ac:dyDescent="0.2">
      <c r="A301" s="73">
        <f t="shared" ref="A301:A306" si="133">+A300+1</f>
        <v>135</v>
      </c>
      <c r="B301" s="265" t="s">
        <v>558</v>
      </c>
      <c r="C301" s="73" t="s">
        <v>338</v>
      </c>
      <c r="D301" s="72" t="s">
        <v>110</v>
      </c>
      <c r="E301" s="72" t="s">
        <v>193</v>
      </c>
      <c r="F301" s="221">
        <v>30000</v>
      </c>
      <c r="G301" s="221">
        <f t="shared" si="132"/>
        <v>861</v>
      </c>
      <c r="H301" s="221">
        <f>+F301*3.04%</f>
        <v>912</v>
      </c>
      <c r="I301" s="221"/>
      <c r="J301" s="220">
        <f>+G301+H301+I301</f>
        <v>1773</v>
      </c>
      <c r="K301" s="220">
        <f t="shared" si="126"/>
        <v>28227</v>
      </c>
      <c r="L301" s="69">
        <f t="shared" si="127"/>
        <v>0</v>
      </c>
      <c r="M301" s="226">
        <v>3560.89</v>
      </c>
      <c r="N301" s="220">
        <f t="shared" si="122"/>
        <v>5333.8899999999994</v>
      </c>
      <c r="O301" s="226">
        <f t="shared" si="123"/>
        <v>24666.11</v>
      </c>
    </row>
    <row r="302" spans="1:15" s="224" customFormat="1" ht="35.1" customHeight="1" x14ac:dyDescent="0.2">
      <c r="A302" s="308">
        <f t="shared" si="133"/>
        <v>136</v>
      </c>
      <c r="B302" s="72" t="s">
        <v>524</v>
      </c>
      <c r="C302" s="73" t="s">
        <v>338</v>
      </c>
      <c r="D302" s="72" t="s">
        <v>110</v>
      </c>
      <c r="E302" s="72" t="s">
        <v>193</v>
      </c>
      <c r="F302" s="221">
        <v>36000</v>
      </c>
      <c r="G302" s="221">
        <f t="shared" si="132"/>
        <v>1033.2</v>
      </c>
      <c r="H302" s="221">
        <f t="shared" ref="H302:H306" si="134">+F302*3.04%</f>
        <v>1094.4000000000001</v>
      </c>
      <c r="I302" s="221"/>
      <c r="J302" s="220">
        <f t="shared" ref="J302:J306" si="135">+G302+H302+I302</f>
        <v>2127.6000000000004</v>
      </c>
      <c r="K302" s="220">
        <f t="shared" si="126"/>
        <v>33872.400000000001</v>
      </c>
      <c r="L302" s="69">
        <f t="shared" si="127"/>
        <v>0</v>
      </c>
      <c r="M302" s="226">
        <v>225</v>
      </c>
      <c r="N302" s="220">
        <f t="shared" si="122"/>
        <v>2352.6000000000004</v>
      </c>
      <c r="O302" s="222">
        <f t="shared" si="123"/>
        <v>33647.4</v>
      </c>
    </row>
    <row r="303" spans="1:15" s="223" customFormat="1" ht="35.1" customHeight="1" x14ac:dyDescent="0.2">
      <c r="A303" s="308">
        <f t="shared" si="133"/>
        <v>137</v>
      </c>
      <c r="B303" s="72" t="s">
        <v>586</v>
      </c>
      <c r="C303" s="73" t="s">
        <v>338</v>
      </c>
      <c r="D303" s="72" t="s">
        <v>110</v>
      </c>
      <c r="E303" s="72" t="s">
        <v>193</v>
      </c>
      <c r="F303" s="221">
        <v>30000</v>
      </c>
      <c r="G303" s="221">
        <f t="shared" si="132"/>
        <v>861</v>
      </c>
      <c r="H303" s="221">
        <f t="shared" si="134"/>
        <v>912</v>
      </c>
      <c r="I303" s="221"/>
      <c r="J303" s="220">
        <f t="shared" si="135"/>
        <v>1773</v>
      </c>
      <c r="K303" s="220">
        <f t="shared" si="126"/>
        <v>28227</v>
      </c>
      <c r="L303" s="69">
        <f t="shared" si="127"/>
        <v>0</v>
      </c>
      <c r="M303" s="226">
        <v>2880.08</v>
      </c>
      <c r="N303" s="220">
        <f t="shared" si="122"/>
        <v>4653.08</v>
      </c>
      <c r="O303" s="222">
        <f t="shared" si="123"/>
        <v>25346.92</v>
      </c>
    </row>
    <row r="304" spans="1:15" s="223" customFormat="1" ht="35.1" customHeight="1" x14ac:dyDescent="0.2">
      <c r="A304" s="308">
        <f t="shared" si="133"/>
        <v>138</v>
      </c>
      <c r="B304" s="72" t="s">
        <v>606</v>
      </c>
      <c r="C304" s="73" t="s">
        <v>338</v>
      </c>
      <c r="D304" s="72" t="s">
        <v>110</v>
      </c>
      <c r="E304" s="72" t="s">
        <v>193</v>
      </c>
      <c r="F304" s="221">
        <v>30000</v>
      </c>
      <c r="G304" s="221">
        <f t="shared" si="132"/>
        <v>861</v>
      </c>
      <c r="H304" s="221">
        <f t="shared" si="134"/>
        <v>912</v>
      </c>
      <c r="I304" s="221"/>
      <c r="J304" s="220">
        <f t="shared" si="135"/>
        <v>1773</v>
      </c>
      <c r="K304" s="220">
        <f t="shared" si="126"/>
        <v>28227</v>
      </c>
      <c r="L304" s="69">
        <f t="shared" si="127"/>
        <v>0</v>
      </c>
      <c r="M304" s="226">
        <v>25</v>
      </c>
      <c r="N304" s="220">
        <f t="shared" si="122"/>
        <v>1798</v>
      </c>
      <c r="O304" s="222">
        <f t="shared" si="123"/>
        <v>28202</v>
      </c>
    </row>
    <row r="305" spans="1:15" s="223" customFormat="1" ht="35.1" customHeight="1" x14ac:dyDescent="0.2">
      <c r="A305" s="308">
        <f t="shared" si="133"/>
        <v>139</v>
      </c>
      <c r="B305" s="72" t="s">
        <v>607</v>
      </c>
      <c r="C305" s="73" t="s">
        <v>338</v>
      </c>
      <c r="D305" s="72" t="s">
        <v>110</v>
      </c>
      <c r="E305" s="72" t="s">
        <v>193</v>
      </c>
      <c r="F305" s="221">
        <v>30000</v>
      </c>
      <c r="G305" s="221">
        <f t="shared" si="132"/>
        <v>861</v>
      </c>
      <c r="H305" s="221">
        <f t="shared" si="134"/>
        <v>912</v>
      </c>
      <c r="I305" s="221"/>
      <c r="J305" s="220">
        <f t="shared" si="135"/>
        <v>1773</v>
      </c>
      <c r="K305" s="220">
        <f t="shared" si="126"/>
        <v>28227</v>
      </c>
      <c r="L305" s="69">
        <f t="shared" si="127"/>
        <v>0</v>
      </c>
      <c r="M305" s="226">
        <v>1590.29</v>
      </c>
      <c r="N305" s="220">
        <f t="shared" si="122"/>
        <v>3363.29</v>
      </c>
      <c r="O305" s="222">
        <f t="shared" si="123"/>
        <v>26636.71</v>
      </c>
    </row>
    <row r="306" spans="1:15" s="223" customFormat="1" ht="35.1" customHeight="1" x14ac:dyDescent="0.2">
      <c r="A306" s="308">
        <f t="shared" si="133"/>
        <v>140</v>
      </c>
      <c r="B306" s="72" t="s">
        <v>618</v>
      </c>
      <c r="C306" s="73" t="s">
        <v>338</v>
      </c>
      <c r="D306" s="72" t="s">
        <v>110</v>
      </c>
      <c r="E306" s="72" t="s">
        <v>193</v>
      </c>
      <c r="F306" s="221">
        <v>30000</v>
      </c>
      <c r="G306" s="221">
        <f t="shared" si="132"/>
        <v>861</v>
      </c>
      <c r="H306" s="221">
        <f t="shared" si="134"/>
        <v>912</v>
      </c>
      <c r="I306" s="221"/>
      <c r="J306" s="220">
        <f t="shared" si="135"/>
        <v>1773</v>
      </c>
      <c r="K306" s="220">
        <f t="shared" si="126"/>
        <v>28227</v>
      </c>
      <c r="L306" s="69">
        <f t="shared" si="127"/>
        <v>0</v>
      </c>
      <c r="M306" s="226">
        <v>590.29</v>
      </c>
      <c r="N306" s="220">
        <f t="shared" si="122"/>
        <v>2363.29</v>
      </c>
      <c r="O306" s="222">
        <f t="shared" si="123"/>
        <v>27636.71</v>
      </c>
    </row>
    <row r="307" spans="1:15" s="223" customFormat="1" ht="35.1" customHeight="1" x14ac:dyDescent="0.2">
      <c r="A307" s="240">
        <f>+A306+1</f>
        <v>141</v>
      </c>
      <c r="B307" s="72" t="s">
        <v>176</v>
      </c>
      <c r="C307" s="240" t="s">
        <v>338</v>
      </c>
      <c r="D307" s="243" t="s">
        <v>177</v>
      </c>
      <c r="E307" s="243" t="s">
        <v>193</v>
      </c>
      <c r="F307" s="68">
        <v>30000</v>
      </c>
      <c r="G307" s="68">
        <f>F307*2.87%</f>
        <v>861</v>
      </c>
      <c r="H307" s="68">
        <f>+F307*3.04%</f>
        <v>912</v>
      </c>
      <c r="I307" s="68">
        <v>1919.78</v>
      </c>
      <c r="J307" s="69">
        <f>+G307+H307+I307</f>
        <v>3692.7799999999997</v>
      </c>
      <c r="K307" s="69">
        <f>+F307-J307</f>
        <v>26307.22</v>
      </c>
      <c r="L307" s="69">
        <f t="shared" si="127"/>
        <v>0</v>
      </c>
      <c r="M307" s="226">
        <v>3290.29</v>
      </c>
      <c r="N307" s="220">
        <f t="shared" si="122"/>
        <v>6983.07</v>
      </c>
      <c r="O307" s="239">
        <f t="shared" si="123"/>
        <v>23016.93</v>
      </c>
    </row>
    <row r="308" spans="1:15" s="148" customFormat="1" ht="35.1" customHeight="1" x14ac:dyDescent="0.2">
      <c r="A308" s="228" t="s">
        <v>100</v>
      </c>
      <c r="B308" s="229"/>
      <c r="C308" s="229"/>
      <c r="D308" s="229"/>
      <c r="E308" s="245"/>
      <c r="F308" s="230">
        <f>SUM(F284:F307)</f>
        <v>866000</v>
      </c>
      <c r="G308" s="230">
        <f t="shared" ref="G308:O308" si="136">SUM(G284:G307)</f>
        <v>24854.200000000004</v>
      </c>
      <c r="H308" s="230">
        <f t="shared" si="136"/>
        <v>26326.400000000001</v>
      </c>
      <c r="I308" s="230">
        <f t="shared" si="136"/>
        <v>5759.34</v>
      </c>
      <c r="J308" s="230">
        <f t="shared" si="136"/>
        <v>56939.939999999995</v>
      </c>
      <c r="K308" s="230">
        <f t="shared" si="136"/>
        <v>809060.06</v>
      </c>
      <c r="L308" s="230">
        <f t="shared" si="136"/>
        <v>7133.6795416666655</v>
      </c>
      <c r="M308" s="230">
        <f t="shared" si="136"/>
        <v>42380.010000000009</v>
      </c>
      <c r="N308" s="230">
        <f t="shared" si="136"/>
        <v>106453.62954166665</v>
      </c>
      <c r="O308" s="230">
        <f t="shared" si="136"/>
        <v>759546.37045833329</v>
      </c>
    </row>
    <row r="309" spans="1:15" s="148" customFormat="1" ht="35.1" customHeight="1" thickBot="1" x14ac:dyDescent="0.25">
      <c r="A309" s="146"/>
      <c r="B309" s="146"/>
      <c r="C309" s="146"/>
      <c r="D309" s="146"/>
      <c r="E309" s="146"/>
      <c r="F309" s="231"/>
      <c r="G309" s="231"/>
      <c r="H309" s="231"/>
      <c r="I309" s="231"/>
      <c r="J309" s="231"/>
      <c r="K309" s="231"/>
      <c r="L309" s="231"/>
      <c r="M309" s="231"/>
      <c r="N309" s="231"/>
      <c r="O309" s="231"/>
    </row>
    <row r="310" spans="1:15" s="148" customFormat="1" ht="35.1" customHeight="1" thickBot="1" x14ac:dyDescent="0.25">
      <c r="A310" s="234" t="s">
        <v>355</v>
      </c>
      <c r="B310" s="235"/>
      <c r="C310" s="235"/>
      <c r="D310" s="235"/>
      <c r="E310" s="235"/>
      <c r="F310" s="235"/>
      <c r="G310" s="235"/>
      <c r="H310" s="235"/>
      <c r="I310" s="235"/>
      <c r="J310" s="235"/>
      <c r="K310" s="235"/>
      <c r="L310" s="235"/>
      <c r="M310" s="235"/>
      <c r="N310" s="235"/>
      <c r="O310" s="235"/>
    </row>
    <row r="311" spans="1:15" s="148" customFormat="1" ht="35.1" customHeight="1" x14ac:dyDescent="0.2">
      <c r="A311" s="240">
        <f>+A307+1</f>
        <v>142</v>
      </c>
      <c r="B311" s="72" t="s">
        <v>323</v>
      </c>
      <c r="C311" s="73" t="s">
        <v>339</v>
      </c>
      <c r="D311" s="88" t="s">
        <v>190</v>
      </c>
      <c r="E311" s="243" t="s">
        <v>98</v>
      </c>
      <c r="F311" s="68">
        <v>95000</v>
      </c>
      <c r="G311" s="68">
        <f t="shared" ref="G311" si="137">F311*2.87%</f>
        <v>2726.5</v>
      </c>
      <c r="H311" s="68">
        <f t="shared" ref="H311" si="138">+F311*3.04%</f>
        <v>2888</v>
      </c>
      <c r="I311" s="221">
        <f>1919.78*2</f>
        <v>3839.56</v>
      </c>
      <c r="J311" s="69">
        <f>+G311+H311+I311</f>
        <v>9454.06</v>
      </c>
      <c r="K311" s="69">
        <f>+F311-J311</f>
        <v>85545.94</v>
      </c>
      <c r="L311" s="69">
        <f t="shared" ref="L311" si="139">+IF(K311*12&lt;=416220.01,0,IF(K311*12&lt;=624329.01,(((K311*12-416220.01)*0.15)/12),IF((K311*12&lt;=867123.01),(31216+0.2*(K311*12-624329.01))/12,((79776+0.25*(K311*12-867123.01))/12))))</f>
        <v>9969.4222916666677</v>
      </c>
      <c r="M311" s="69">
        <v>2090.29</v>
      </c>
      <c r="N311" s="220">
        <f>+M311+I311+H311+G311+L311</f>
        <v>21513.772291666668</v>
      </c>
      <c r="O311" s="239">
        <f>+F311-N311</f>
        <v>73486.227708333332</v>
      </c>
    </row>
    <row r="312" spans="1:15" s="148" customFormat="1" ht="35.1" customHeight="1" x14ac:dyDescent="0.2">
      <c r="A312" s="228" t="s">
        <v>100</v>
      </c>
      <c r="B312" s="229"/>
      <c r="C312" s="229"/>
      <c r="D312" s="229"/>
      <c r="E312" s="245"/>
      <c r="F312" s="230">
        <f t="shared" ref="F312:L312" si="140">SUM(F311:F311)</f>
        <v>95000</v>
      </c>
      <c r="G312" s="230">
        <f t="shared" si="140"/>
        <v>2726.5</v>
      </c>
      <c r="H312" s="230">
        <f t="shared" si="140"/>
        <v>2888</v>
      </c>
      <c r="I312" s="230">
        <f t="shared" si="140"/>
        <v>3839.56</v>
      </c>
      <c r="J312" s="230">
        <f t="shared" si="140"/>
        <v>9454.06</v>
      </c>
      <c r="K312" s="230">
        <f t="shared" si="140"/>
        <v>85545.94</v>
      </c>
      <c r="L312" s="230">
        <f t="shared" si="140"/>
        <v>9969.4222916666677</v>
      </c>
      <c r="M312" s="230">
        <f>SUM(M311:M311)</f>
        <v>2090.29</v>
      </c>
      <c r="N312" s="230">
        <f>SUM(N311:N311)</f>
        <v>21513.772291666668</v>
      </c>
      <c r="O312" s="230">
        <f>SUM(O311:O311)</f>
        <v>73486.227708333332</v>
      </c>
    </row>
    <row r="313" spans="1:15" s="224" customFormat="1" ht="35.1" customHeight="1" thickBot="1" x14ac:dyDescent="0.25">
      <c r="A313" s="146"/>
      <c r="B313" s="146"/>
      <c r="C313" s="146"/>
      <c r="D313" s="146"/>
      <c r="E313" s="146"/>
      <c r="F313" s="223"/>
      <c r="G313" s="223"/>
      <c r="H313" s="223"/>
      <c r="I313" s="223"/>
      <c r="J313" s="223"/>
      <c r="K313" s="223"/>
      <c r="L313" s="223"/>
      <c r="M313" s="223"/>
      <c r="N313" s="223"/>
      <c r="O313" s="223"/>
    </row>
    <row r="314" spans="1:15" s="224" customFormat="1" ht="35.1" customHeight="1" thickBot="1" x14ac:dyDescent="0.25">
      <c r="A314" s="234" t="s">
        <v>174</v>
      </c>
      <c r="B314" s="235"/>
      <c r="C314" s="235"/>
      <c r="D314" s="235"/>
      <c r="E314" s="235"/>
      <c r="F314" s="235"/>
      <c r="G314" s="235"/>
      <c r="H314" s="235"/>
      <c r="I314" s="235"/>
      <c r="J314" s="235"/>
      <c r="K314" s="235"/>
      <c r="L314" s="235"/>
      <c r="M314" s="235"/>
      <c r="N314" s="235"/>
      <c r="O314" s="235"/>
    </row>
    <row r="315" spans="1:15" s="224" customFormat="1" ht="35.1" customHeight="1" x14ac:dyDescent="0.2">
      <c r="A315" s="73">
        <f>+A311+1</f>
        <v>143</v>
      </c>
      <c r="B315" s="72" t="s">
        <v>59</v>
      </c>
      <c r="C315" s="73" t="s">
        <v>339</v>
      </c>
      <c r="D315" s="88" t="s">
        <v>574</v>
      </c>
      <c r="E315" s="72" t="s">
        <v>97</v>
      </c>
      <c r="F315" s="221">
        <v>110000</v>
      </c>
      <c r="G315" s="221">
        <f>F315*2.87%</f>
        <v>3157</v>
      </c>
      <c r="H315" s="68">
        <f>+F315*3.04%</f>
        <v>3344</v>
      </c>
      <c r="I315" s="68"/>
      <c r="J315" s="69">
        <f>+G315+H315+I315</f>
        <v>6501</v>
      </c>
      <c r="K315" s="69">
        <f>+F315-J315</f>
        <v>103499</v>
      </c>
      <c r="L315" s="69">
        <f t="shared" ref="L315:L316" si="141">+IF(K315*12&lt;=416220.01,0,IF(K315*12&lt;=624329.01,(((K315*12-416220.01)*0.15)/12),IF((K315*12&lt;=867123.01),(31216+0.2*(K315*12-624329.01))/12,((79776+0.25*(K315*12-867123.01))/12))))</f>
        <v>14457.687291666667</v>
      </c>
      <c r="M315" s="69">
        <v>25</v>
      </c>
      <c r="N315" s="220">
        <f>+M315+I315+H315+G315+L315</f>
        <v>20983.687291666669</v>
      </c>
      <c r="O315" s="239">
        <f>+F315-N315</f>
        <v>89016.312708333338</v>
      </c>
    </row>
    <row r="316" spans="1:15" s="224" customFormat="1" ht="35.1" customHeight="1" x14ac:dyDescent="0.2">
      <c r="A316" s="73">
        <f>+A315+1</f>
        <v>144</v>
      </c>
      <c r="B316" s="72" t="s">
        <v>281</v>
      </c>
      <c r="C316" s="73" t="s">
        <v>338</v>
      </c>
      <c r="D316" s="72" t="s">
        <v>13</v>
      </c>
      <c r="E316" s="72" t="s">
        <v>98</v>
      </c>
      <c r="F316" s="221">
        <v>40000</v>
      </c>
      <c r="G316" s="221">
        <f>F316*2.87%</f>
        <v>1148</v>
      </c>
      <c r="H316" s="68">
        <f>+F316*3.04%</f>
        <v>1216</v>
      </c>
      <c r="I316" s="68">
        <v>1919.78</v>
      </c>
      <c r="J316" s="69">
        <f>+G316+H316+I316</f>
        <v>4283.78</v>
      </c>
      <c r="K316" s="69">
        <f>+F316-J316</f>
        <v>35716.22</v>
      </c>
      <c r="L316" s="69">
        <f t="shared" si="141"/>
        <v>154.68287500000005</v>
      </c>
      <c r="M316" s="220">
        <v>11498.3</v>
      </c>
      <c r="N316" s="220">
        <f>+M316+I316+H316+G316+L316</f>
        <v>15936.762875</v>
      </c>
      <c r="O316" s="239">
        <f>+F316-N316</f>
        <v>24063.237125</v>
      </c>
    </row>
    <row r="317" spans="1:15" s="224" customFormat="1" ht="35.1" customHeight="1" x14ac:dyDescent="0.2">
      <c r="A317" s="228" t="s">
        <v>100</v>
      </c>
      <c r="B317" s="229"/>
      <c r="C317" s="229"/>
      <c r="D317" s="229"/>
      <c r="E317" s="245"/>
      <c r="F317" s="230">
        <f>SUM(F315:F316)</f>
        <v>150000</v>
      </c>
      <c r="G317" s="230">
        <f t="shared" ref="G317:O317" si="142">SUM(G315:G316)</f>
        <v>4305</v>
      </c>
      <c r="H317" s="230">
        <f t="shared" si="142"/>
        <v>4560</v>
      </c>
      <c r="I317" s="230">
        <f t="shared" si="142"/>
        <v>1919.78</v>
      </c>
      <c r="J317" s="230">
        <f t="shared" si="142"/>
        <v>10784.779999999999</v>
      </c>
      <c r="K317" s="230">
        <f t="shared" si="142"/>
        <v>139215.22</v>
      </c>
      <c r="L317" s="230">
        <f t="shared" si="142"/>
        <v>14612.370166666668</v>
      </c>
      <c r="M317" s="230">
        <f t="shared" si="142"/>
        <v>11523.3</v>
      </c>
      <c r="N317" s="230">
        <f t="shared" si="142"/>
        <v>36920.450166666669</v>
      </c>
      <c r="O317" s="230">
        <f t="shared" si="142"/>
        <v>113079.54983333334</v>
      </c>
    </row>
    <row r="318" spans="1:15" s="224" customFormat="1" ht="35.1" customHeight="1" thickBot="1" x14ac:dyDescent="0.25">
      <c r="A318" s="146"/>
      <c r="B318" s="146"/>
      <c r="C318" s="146"/>
      <c r="D318" s="146"/>
      <c r="E318" s="146"/>
      <c r="F318" s="231"/>
      <c r="G318" s="231"/>
      <c r="H318" s="231"/>
      <c r="I318" s="231"/>
      <c r="J318" s="231"/>
      <c r="K318" s="231"/>
      <c r="L318" s="231"/>
      <c r="M318" s="231"/>
      <c r="N318" s="231"/>
      <c r="O318" s="231"/>
    </row>
    <row r="319" spans="1:15" s="224" customFormat="1" ht="35.1" customHeight="1" thickBot="1" x14ac:dyDescent="0.25">
      <c r="A319" s="234" t="s">
        <v>175</v>
      </c>
      <c r="B319" s="235"/>
      <c r="C319" s="235"/>
      <c r="D319" s="235"/>
      <c r="E319" s="235"/>
      <c r="F319" s="235"/>
      <c r="G319" s="235"/>
      <c r="H319" s="235"/>
      <c r="I319" s="235"/>
      <c r="J319" s="235"/>
      <c r="K319" s="235"/>
      <c r="L319" s="235"/>
      <c r="M319" s="235"/>
      <c r="N319" s="235"/>
      <c r="O319" s="235"/>
    </row>
    <row r="320" spans="1:15" s="282" customFormat="1" ht="35.1" customHeight="1" x14ac:dyDescent="0.2">
      <c r="A320" s="240">
        <f>+A316+1</f>
        <v>145</v>
      </c>
      <c r="B320" s="72" t="s">
        <v>64</v>
      </c>
      <c r="C320" s="73" t="s">
        <v>338</v>
      </c>
      <c r="D320" s="72" t="s">
        <v>83</v>
      </c>
      <c r="E320" s="72" t="s">
        <v>97</v>
      </c>
      <c r="F320" s="221">
        <v>60000</v>
      </c>
      <c r="G320" s="68">
        <f>F320*2.87%</f>
        <v>1722</v>
      </c>
      <c r="H320" s="68">
        <f>+F320*3.04%</f>
        <v>1824</v>
      </c>
      <c r="I320" s="68">
        <v>1919.78</v>
      </c>
      <c r="J320" s="69">
        <f>+G320+H320+I320</f>
        <v>5465.78</v>
      </c>
      <c r="K320" s="69">
        <f>+F320-J320</f>
        <v>54534.22</v>
      </c>
      <c r="L320" s="69">
        <f t="shared" ref="L320" si="143">+IF(K320*12&lt;=416220.01,0,IF(K320*12&lt;=624329.01,(((K320*12-416220.01)*0.15)/12),IF((K320*12&lt;=867123.01),(31216+0.2*(K320*12-624329.01))/12,((79776+0.25*(K320*12-867123.01))/12))))</f>
        <v>3102.6938333333333</v>
      </c>
      <c r="M320" s="220">
        <v>5090.29</v>
      </c>
      <c r="N320" s="220">
        <f>+M320+I320+H320+G320+L320</f>
        <v>13658.763833333333</v>
      </c>
      <c r="O320" s="239">
        <f>+F320-N320</f>
        <v>46341.236166666669</v>
      </c>
    </row>
    <row r="321" spans="1:15" s="224" customFormat="1" ht="35.1" customHeight="1" x14ac:dyDescent="0.2">
      <c r="A321" s="228" t="s">
        <v>100</v>
      </c>
      <c r="B321" s="229"/>
      <c r="C321" s="229"/>
      <c r="D321" s="229"/>
      <c r="E321" s="245"/>
      <c r="F321" s="230">
        <f>SUM(F320:F320)</f>
        <v>60000</v>
      </c>
      <c r="G321" s="230">
        <f t="shared" ref="G321:O321" si="144">SUM(G320:G320)</f>
        <v>1722</v>
      </c>
      <c r="H321" s="230">
        <f t="shared" si="144"/>
        <v>1824</v>
      </c>
      <c r="I321" s="230">
        <f t="shared" si="144"/>
        <v>1919.78</v>
      </c>
      <c r="J321" s="230">
        <f t="shared" si="144"/>
        <v>5465.78</v>
      </c>
      <c r="K321" s="230">
        <f t="shared" si="144"/>
        <v>54534.22</v>
      </c>
      <c r="L321" s="230">
        <f t="shared" si="144"/>
        <v>3102.6938333333333</v>
      </c>
      <c r="M321" s="230">
        <f t="shared" si="144"/>
        <v>5090.29</v>
      </c>
      <c r="N321" s="230">
        <f t="shared" si="144"/>
        <v>13658.763833333333</v>
      </c>
      <c r="O321" s="230">
        <f t="shared" si="144"/>
        <v>46341.236166666669</v>
      </c>
    </row>
    <row r="322" spans="1:15" s="223" customFormat="1" ht="35.1" customHeight="1" thickBot="1" x14ac:dyDescent="0.25">
      <c r="A322" s="146"/>
      <c r="B322" s="146"/>
      <c r="C322" s="146"/>
      <c r="D322" s="146"/>
      <c r="E322" s="146"/>
      <c r="F322" s="231"/>
      <c r="G322" s="231"/>
      <c r="H322" s="231"/>
      <c r="I322" s="231"/>
      <c r="J322" s="231"/>
      <c r="K322" s="231"/>
      <c r="L322" s="231"/>
      <c r="M322" s="231"/>
      <c r="N322" s="231"/>
      <c r="O322" s="231"/>
    </row>
    <row r="323" spans="1:15" s="224" customFormat="1" ht="35.1" customHeight="1" thickBot="1" x14ac:dyDescent="0.25">
      <c r="A323" s="234" t="s">
        <v>282</v>
      </c>
      <c r="B323" s="235"/>
      <c r="C323" s="235"/>
      <c r="D323" s="235"/>
      <c r="E323" s="235"/>
      <c r="F323" s="235"/>
      <c r="G323" s="235"/>
      <c r="H323" s="235"/>
      <c r="I323" s="235"/>
      <c r="J323" s="235"/>
      <c r="K323" s="235"/>
      <c r="L323" s="235"/>
      <c r="M323" s="235"/>
      <c r="N323" s="235"/>
      <c r="O323" s="235"/>
    </row>
    <row r="324" spans="1:15" s="223" customFormat="1" ht="35.1" customHeight="1" x14ac:dyDescent="0.2">
      <c r="A324" s="240">
        <f>+A320+1</f>
        <v>146</v>
      </c>
      <c r="B324" s="243" t="s">
        <v>284</v>
      </c>
      <c r="C324" s="240" t="s">
        <v>338</v>
      </c>
      <c r="D324" s="243" t="s">
        <v>283</v>
      </c>
      <c r="E324" s="243" t="s">
        <v>193</v>
      </c>
      <c r="F324" s="68">
        <v>45000</v>
      </c>
      <c r="G324" s="68">
        <f t="shared" ref="G324" si="145">F324*2.87%</f>
        <v>1291.5</v>
      </c>
      <c r="H324" s="68">
        <f t="shared" ref="H324" si="146">+F324*3.04%</f>
        <v>1368</v>
      </c>
      <c r="I324" s="68"/>
      <c r="J324" s="69">
        <f>+G324+H324+I324</f>
        <v>2659.5</v>
      </c>
      <c r="K324" s="69">
        <f>+F324-J324</f>
        <v>42340.5</v>
      </c>
      <c r="L324" s="69">
        <f t="shared" ref="L324:L326" si="147">+IF(K324*12&lt;=416220.01,0,IF(K324*12&lt;=624329.01,(((K324*12-416220.01)*0.15)/12),IF((K324*12&lt;=867123.01),(31216+0.2*(K324*12-624329.01))/12,((79776+0.25*(K324*12-867123.01))/12))))</f>
        <v>1148.3248749999998</v>
      </c>
      <c r="M324" s="226">
        <v>1290.29</v>
      </c>
      <c r="N324" s="220">
        <f>+M324+I324+H324+G324+L324</f>
        <v>5098.1148749999993</v>
      </c>
      <c r="O324" s="239">
        <f>+F324-N324</f>
        <v>39901.885125000001</v>
      </c>
    </row>
    <row r="325" spans="1:15" s="282" customFormat="1" ht="35.1" customHeight="1" x14ac:dyDescent="0.2">
      <c r="A325" s="240">
        <f>+A324+1</f>
        <v>147</v>
      </c>
      <c r="B325" s="243" t="s">
        <v>341</v>
      </c>
      <c r="C325" s="240" t="s">
        <v>338</v>
      </c>
      <c r="D325" s="280" t="s">
        <v>283</v>
      </c>
      <c r="E325" s="243" t="s">
        <v>193</v>
      </c>
      <c r="F325" s="68">
        <v>35000</v>
      </c>
      <c r="G325" s="68">
        <f>F325*2.87%</f>
        <v>1004.5</v>
      </c>
      <c r="H325" s="68">
        <f>+F325*3.04%</f>
        <v>1064</v>
      </c>
      <c r="I325" s="68"/>
      <c r="J325" s="69">
        <f>+G325+H325+I325</f>
        <v>2068.5</v>
      </c>
      <c r="K325" s="69">
        <f t="shared" ref="K325:K326" si="148">+F325-J325</f>
        <v>32931.5</v>
      </c>
      <c r="L325" s="69">
        <f t="shared" si="147"/>
        <v>0</v>
      </c>
      <c r="M325" s="226">
        <v>225</v>
      </c>
      <c r="N325" s="220">
        <f>+M325+I325+H325+G325+L325</f>
        <v>2293.5</v>
      </c>
      <c r="O325" s="84">
        <f>+F325-N325</f>
        <v>32706.5</v>
      </c>
    </row>
    <row r="326" spans="1:15" s="224" customFormat="1" ht="35.1" customHeight="1" x14ac:dyDescent="0.2">
      <c r="A326" s="240">
        <f>+A325+1</f>
        <v>148</v>
      </c>
      <c r="B326" s="243" t="s">
        <v>511</v>
      </c>
      <c r="C326" s="240" t="s">
        <v>338</v>
      </c>
      <c r="D326" s="243" t="s">
        <v>283</v>
      </c>
      <c r="E326" s="243" t="s">
        <v>193</v>
      </c>
      <c r="F326" s="68">
        <v>38000</v>
      </c>
      <c r="G326" s="68">
        <f t="shared" ref="G326" si="149">F326*2.87%</f>
        <v>1090.5999999999999</v>
      </c>
      <c r="H326" s="68">
        <f t="shared" ref="H326" si="150">+F326*3.04%</f>
        <v>1155.2</v>
      </c>
      <c r="I326" s="68"/>
      <c r="J326" s="69">
        <f>+G326+H326+I326</f>
        <v>2245.8000000000002</v>
      </c>
      <c r="K326" s="69">
        <f t="shared" si="148"/>
        <v>35754.199999999997</v>
      </c>
      <c r="L326" s="69">
        <f t="shared" si="147"/>
        <v>160.37987499999943</v>
      </c>
      <c r="M326" s="226">
        <v>225</v>
      </c>
      <c r="N326" s="220">
        <f>+M326+I326+H326+G326+L326</f>
        <v>2631.1798749999998</v>
      </c>
      <c r="O326" s="239">
        <f>+F326-N326</f>
        <v>35368.820124999998</v>
      </c>
    </row>
    <row r="327" spans="1:15" s="224" customFormat="1" ht="35.1" customHeight="1" x14ac:dyDescent="0.2">
      <c r="A327" s="228" t="s">
        <v>100</v>
      </c>
      <c r="B327" s="229"/>
      <c r="C327" s="229"/>
      <c r="D327" s="229"/>
      <c r="E327" s="245"/>
      <c r="F327" s="230">
        <f t="shared" ref="F327:O327" si="151">SUM(F324:F326)</f>
        <v>118000</v>
      </c>
      <c r="G327" s="230">
        <f t="shared" si="151"/>
        <v>3386.6</v>
      </c>
      <c r="H327" s="230">
        <f t="shared" si="151"/>
        <v>3587.2</v>
      </c>
      <c r="I327" s="230">
        <f t="shared" si="151"/>
        <v>0</v>
      </c>
      <c r="J327" s="230">
        <f t="shared" si="151"/>
        <v>6973.8</v>
      </c>
      <c r="K327" s="230">
        <f t="shared" si="151"/>
        <v>111026.2</v>
      </c>
      <c r="L327" s="230">
        <f t="shared" si="151"/>
        <v>1308.7047499999992</v>
      </c>
      <c r="M327" s="230">
        <f t="shared" si="151"/>
        <v>1740.29</v>
      </c>
      <c r="N327" s="230">
        <f t="shared" si="151"/>
        <v>10022.794749999999</v>
      </c>
      <c r="O327" s="230">
        <f t="shared" si="151"/>
        <v>107977.20525</v>
      </c>
    </row>
    <row r="328" spans="1:15" s="149" customFormat="1" ht="35.1" customHeight="1" x14ac:dyDescent="0.2">
      <c r="A328" s="146"/>
      <c r="B328" s="146"/>
      <c r="C328" s="146"/>
      <c r="D328" s="146"/>
      <c r="E328" s="146"/>
      <c r="F328" s="231"/>
      <c r="G328" s="231"/>
      <c r="H328" s="231"/>
      <c r="I328" s="231"/>
      <c r="J328" s="231"/>
      <c r="K328" s="231"/>
      <c r="L328" s="231"/>
      <c r="M328" s="231"/>
      <c r="N328" s="231"/>
      <c r="O328" s="231"/>
    </row>
    <row r="329" spans="1:15" s="224" customFormat="1" ht="35.1" customHeight="1" thickBot="1" x14ac:dyDescent="0.25">
      <c r="A329" s="146"/>
      <c r="B329" s="146"/>
      <c r="C329" s="146"/>
      <c r="D329" s="146"/>
      <c r="E329" s="146"/>
      <c r="F329" s="231"/>
      <c r="G329" s="231"/>
      <c r="H329" s="231"/>
      <c r="I329" s="231"/>
      <c r="J329" s="231"/>
      <c r="K329" s="231"/>
      <c r="L329" s="231"/>
      <c r="M329" s="231"/>
      <c r="N329" s="231"/>
      <c r="O329" s="231"/>
    </row>
    <row r="330" spans="1:15" s="149" customFormat="1" ht="35.1" customHeight="1" thickBot="1" x14ac:dyDescent="0.25">
      <c r="A330" s="234" t="s">
        <v>148</v>
      </c>
      <c r="B330" s="235"/>
      <c r="C330" s="235"/>
      <c r="D330" s="235"/>
      <c r="E330" s="235"/>
      <c r="F330" s="235"/>
      <c r="G330" s="235"/>
      <c r="H330" s="235"/>
      <c r="I330" s="235"/>
      <c r="J330" s="235"/>
      <c r="K330" s="235"/>
      <c r="L330" s="235"/>
      <c r="M330" s="235"/>
      <c r="N330" s="235"/>
      <c r="O330" s="235"/>
    </row>
    <row r="331" spans="1:15" s="149" customFormat="1" ht="35.1" customHeight="1" x14ac:dyDescent="0.2">
      <c r="A331" s="218">
        <f>+A326+1</f>
        <v>149</v>
      </c>
      <c r="B331" s="219" t="s">
        <v>285</v>
      </c>
      <c r="C331" s="218" t="s">
        <v>339</v>
      </c>
      <c r="D331" s="227" t="s">
        <v>86</v>
      </c>
      <c r="E331" s="72" t="s">
        <v>98</v>
      </c>
      <c r="F331" s="220">
        <v>80000</v>
      </c>
      <c r="G331" s="220">
        <f>F331*2.87%</f>
        <v>2296</v>
      </c>
      <c r="H331" s="220">
        <f t="shared" ref="H331:H335" si="152">+F331*3.04%</f>
        <v>2432</v>
      </c>
      <c r="I331" s="220">
        <v>1919.78</v>
      </c>
      <c r="J331" s="220">
        <f>+G331+H331+I331</f>
        <v>6647.78</v>
      </c>
      <c r="K331" s="220">
        <f t="shared" ref="K331:K343" si="153">+F331-J331</f>
        <v>73352.22</v>
      </c>
      <c r="L331" s="69">
        <f t="shared" ref="L331:L344" si="154">+IF(K331*12&lt;=416220.01,0,IF(K331*12&lt;=624329.01,(((K331*12-416220.01)*0.15)/12),IF((K331*12&lt;=867123.01),(31216+0.2*(K331*12-624329.01))/12,((79776+0.25*(K331*12-867123.01))/12))))</f>
        <v>6920.9922916666665</v>
      </c>
      <c r="M331" s="226">
        <v>9388.7099999999991</v>
      </c>
      <c r="N331" s="220">
        <f t="shared" ref="N331:N344" si="155">+M331+I331+H331+G331+L331</f>
        <v>22957.482291666667</v>
      </c>
      <c r="O331" s="226">
        <f t="shared" ref="O331:O344" si="156">+F331-N331</f>
        <v>57042.517708333333</v>
      </c>
    </row>
    <row r="332" spans="1:15" s="149" customFormat="1" ht="35.1" customHeight="1" x14ac:dyDescent="0.2">
      <c r="A332" s="218">
        <f>+A331+1</f>
        <v>150</v>
      </c>
      <c r="B332" s="219" t="s">
        <v>5</v>
      </c>
      <c r="C332" s="218" t="s">
        <v>339</v>
      </c>
      <c r="D332" s="227" t="s">
        <v>288</v>
      </c>
      <c r="E332" s="72" t="s">
        <v>98</v>
      </c>
      <c r="F332" s="220">
        <v>47500</v>
      </c>
      <c r="G332" s="220">
        <f t="shared" ref="G332:G335" si="157">F332*2.87%</f>
        <v>1363.25</v>
      </c>
      <c r="H332" s="220">
        <f t="shared" si="152"/>
        <v>1444</v>
      </c>
      <c r="I332" s="220">
        <v>1919.78</v>
      </c>
      <c r="J332" s="220">
        <f t="shared" ref="J332:J335" si="158">+G332+H332+I332</f>
        <v>4727.03</v>
      </c>
      <c r="K332" s="220">
        <f t="shared" si="153"/>
        <v>42772.97</v>
      </c>
      <c r="L332" s="69">
        <f t="shared" si="154"/>
        <v>1213.195375</v>
      </c>
      <c r="M332" s="226">
        <v>225</v>
      </c>
      <c r="N332" s="220">
        <f t="shared" si="155"/>
        <v>6165.225375</v>
      </c>
      <c r="O332" s="226">
        <f t="shared" si="156"/>
        <v>41334.774624999998</v>
      </c>
    </row>
    <row r="333" spans="1:15" s="149" customFormat="1" ht="35.1" customHeight="1" x14ac:dyDescent="0.2">
      <c r="A333" s="218">
        <f t="shared" ref="A333:A337" si="159">+A332+1</f>
        <v>151</v>
      </c>
      <c r="B333" s="219" t="s">
        <v>30</v>
      </c>
      <c r="C333" s="218" t="s">
        <v>339</v>
      </c>
      <c r="D333" s="227" t="s">
        <v>288</v>
      </c>
      <c r="E333" s="72" t="s">
        <v>98</v>
      </c>
      <c r="F333" s="220">
        <v>47500</v>
      </c>
      <c r="G333" s="220">
        <f t="shared" si="157"/>
        <v>1363.25</v>
      </c>
      <c r="H333" s="220">
        <f t="shared" si="152"/>
        <v>1444</v>
      </c>
      <c r="I333" s="220">
        <v>0</v>
      </c>
      <c r="J333" s="220">
        <f t="shared" si="158"/>
        <v>2807.25</v>
      </c>
      <c r="K333" s="220">
        <f t="shared" si="153"/>
        <v>44692.75</v>
      </c>
      <c r="L333" s="69">
        <f t="shared" si="154"/>
        <v>1501.1623749999999</v>
      </c>
      <c r="M333" s="226">
        <v>1790.29</v>
      </c>
      <c r="N333" s="220">
        <f t="shared" si="155"/>
        <v>6098.7023749999998</v>
      </c>
      <c r="O333" s="226">
        <f t="shared" si="156"/>
        <v>41401.297624999999</v>
      </c>
    </row>
    <row r="334" spans="1:15" s="148" customFormat="1" ht="35.1" customHeight="1" x14ac:dyDescent="0.2">
      <c r="A334" s="218">
        <f t="shared" si="159"/>
        <v>152</v>
      </c>
      <c r="B334" s="219" t="s">
        <v>293</v>
      </c>
      <c r="C334" s="218" t="s">
        <v>339</v>
      </c>
      <c r="D334" s="227" t="s">
        <v>287</v>
      </c>
      <c r="E334" s="72" t="s">
        <v>98</v>
      </c>
      <c r="F334" s="220">
        <v>47500</v>
      </c>
      <c r="G334" s="220">
        <f t="shared" si="157"/>
        <v>1363.25</v>
      </c>
      <c r="H334" s="220">
        <f t="shared" si="152"/>
        <v>1444</v>
      </c>
      <c r="I334" s="220">
        <v>1919.78</v>
      </c>
      <c r="J334" s="220">
        <f>+G334+H334+I334</f>
        <v>4727.03</v>
      </c>
      <c r="K334" s="220">
        <f t="shared" si="153"/>
        <v>42772.97</v>
      </c>
      <c r="L334" s="69">
        <f t="shared" si="154"/>
        <v>1213.195375</v>
      </c>
      <c r="M334" s="226">
        <v>4758.24</v>
      </c>
      <c r="N334" s="220">
        <f t="shared" si="155"/>
        <v>10698.465375</v>
      </c>
      <c r="O334" s="226">
        <f t="shared" si="156"/>
        <v>36801.534625</v>
      </c>
    </row>
    <row r="335" spans="1:15" s="224" customFormat="1" ht="35.1" customHeight="1" x14ac:dyDescent="0.2">
      <c r="A335" s="218">
        <f t="shared" si="159"/>
        <v>153</v>
      </c>
      <c r="B335" s="219" t="s">
        <v>289</v>
      </c>
      <c r="C335" s="218" t="s">
        <v>338</v>
      </c>
      <c r="D335" s="227" t="s">
        <v>287</v>
      </c>
      <c r="E335" s="72" t="s">
        <v>98</v>
      </c>
      <c r="F335" s="220">
        <v>47500</v>
      </c>
      <c r="G335" s="220">
        <f t="shared" si="157"/>
        <v>1363.25</v>
      </c>
      <c r="H335" s="220">
        <f t="shared" si="152"/>
        <v>1444</v>
      </c>
      <c r="I335" s="220"/>
      <c r="J335" s="220">
        <f t="shared" si="158"/>
        <v>2807.25</v>
      </c>
      <c r="K335" s="220">
        <f t="shared" si="153"/>
        <v>44692.75</v>
      </c>
      <c r="L335" s="69">
        <f t="shared" si="154"/>
        <v>1501.1623749999999</v>
      </c>
      <c r="M335" s="226">
        <v>12841.5</v>
      </c>
      <c r="N335" s="220">
        <f t="shared" si="155"/>
        <v>17149.912375</v>
      </c>
      <c r="O335" s="226">
        <f t="shared" si="156"/>
        <v>30350.087625</v>
      </c>
    </row>
    <row r="336" spans="1:15" s="224" customFormat="1" ht="35.1" customHeight="1" x14ac:dyDescent="0.2">
      <c r="A336" s="218">
        <f t="shared" si="159"/>
        <v>154</v>
      </c>
      <c r="B336" s="219" t="s">
        <v>291</v>
      </c>
      <c r="C336" s="218" t="s">
        <v>339</v>
      </c>
      <c r="D336" s="227" t="s">
        <v>287</v>
      </c>
      <c r="E336" s="72" t="s">
        <v>98</v>
      </c>
      <c r="F336" s="220">
        <v>47500</v>
      </c>
      <c r="G336" s="220">
        <f t="shared" ref="G336:G344" si="160">F336*2.87%</f>
        <v>1363.25</v>
      </c>
      <c r="H336" s="220">
        <f t="shared" ref="H336:H344" si="161">+F336*3.04%</f>
        <v>1444</v>
      </c>
      <c r="I336" s="220"/>
      <c r="J336" s="220">
        <f t="shared" ref="J336:J342" si="162">+G336+H336+I336</f>
        <v>2807.25</v>
      </c>
      <c r="K336" s="220">
        <f t="shared" si="153"/>
        <v>44692.75</v>
      </c>
      <c r="L336" s="69">
        <f t="shared" si="154"/>
        <v>1501.1623749999999</v>
      </c>
      <c r="M336" s="226">
        <v>3698.95</v>
      </c>
      <c r="N336" s="220">
        <f t="shared" si="155"/>
        <v>8007.3623749999997</v>
      </c>
      <c r="O336" s="226">
        <f t="shared" si="156"/>
        <v>39492.637625000003</v>
      </c>
    </row>
    <row r="337" spans="1:15" s="224" customFormat="1" ht="35.1" customHeight="1" x14ac:dyDescent="0.2">
      <c r="A337" s="218">
        <f t="shared" si="159"/>
        <v>155</v>
      </c>
      <c r="B337" s="219" t="s">
        <v>29</v>
      </c>
      <c r="C337" s="218" t="s">
        <v>339</v>
      </c>
      <c r="D337" s="227" t="s">
        <v>287</v>
      </c>
      <c r="E337" s="72" t="s">
        <v>98</v>
      </c>
      <c r="F337" s="220">
        <v>47500</v>
      </c>
      <c r="G337" s="220">
        <f t="shared" si="160"/>
        <v>1363.25</v>
      </c>
      <c r="H337" s="220">
        <f t="shared" si="161"/>
        <v>1444</v>
      </c>
      <c r="I337" s="220">
        <v>1919.78</v>
      </c>
      <c r="J337" s="220">
        <f t="shared" si="162"/>
        <v>4727.03</v>
      </c>
      <c r="K337" s="220">
        <f t="shared" si="153"/>
        <v>42772.97</v>
      </c>
      <c r="L337" s="69">
        <f t="shared" si="154"/>
        <v>1213.195375</v>
      </c>
      <c r="M337" s="226">
        <v>11028.18</v>
      </c>
      <c r="N337" s="220">
        <f t="shared" si="155"/>
        <v>16968.405375000002</v>
      </c>
      <c r="O337" s="226">
        <f t="shared" si="156"/>
        <v>30531.594624999998</v>
      </c>
    </row>
    <row r="338" spans="1:15" s="148" customFormat="1" ht="35.1" customHeight="1" x14ac:dyDescent="0.2">
      <c r="A338" s="218">
        <f>+A337+1</f>
        <v>156</v>
      </c>
      <c r="B338" s="219" t="s">
        <v>14</v>
      </c>
      <c r="C338" s="218" t="s">
        <v>339</v>
      </c>
      <c r="D338" s="227" t="s">
        <v>287</v>
      </c>
      <c r="E338" s="72" t="s">
        <v>97</v>
      </c>
      <c r="F338" s="220">
        <v>40000</v>
      </c>
      <c r="G338" s="220">
        <f>F338*2.87%</f>
        <v>1148</v>
      </c>
      <c r="H338" s="220">
        <f>+F338*3.04%</f>
        <v>1216</v>
      </c>
      <c r="I338" s="220">
        <v>1919.78</v>
      </c>
      <c r="J338" s="220">
        <f>+G338+H338+I338</f>
        <v>4283.78</v>
      </c>
      <c r="K338" s="220">
        <f>+F338-J338</f>
        <v>35716.22</v>
      </c>
      <c r="L338" s="69">
        <f t="shared" si="154"/>
        <v>154.68287500000005</v>
      </c>
      <c r="M338" s="226">
        <v>14330.29</v>
      </c>
      <c r="N338" s="220">
        <f t="shared" si="155"/>
        <v>18768.752874999998</v>
      </c>
      <c r="O338" s="226">
        <f t="shared" si="156"/>
        <v>21231.247125000002</v>
      </c>
    </row>
    <row r="339" spans="1:15" s="148" customFormat="1" ht="35.1" customHeight="1" x14ac:dyDescent="0.2">
      <c r="A339" s="218">
        <f>+A338+1</f>
        <v>157</v>
      </c>
      <c r="B339" s="219" t="s">
        <v>292</v>
      </c>
      <c r="C339" s="218" t="s">
        <v>339</v>
      </c>
      <c r="D339" s="227" t="s">
        <v>16</v>
      </c>
      <c r="E339" s="72" t="s">
        <v>98</v>
      </c>
      <c r="F339" s="220">
        <v>42500</v>
      </c>
      <c r="G339" s="220">
        <f>F339*2.87%</f>
        <v>1219.75</v>
      </c>
      <c r="H339" s="220">
        <f t="shared" ref="H339:H341" si="163">+F339*3.04%</f>
        <v>1292</v>
      </c>
      <c r="I339" s="220">
        <v>1919.78</v>
      </c>
      <c r="J339" s="220">
        <f>+G339+H339+I339</f>
        <v>4431.53</v>
      </c>
      <c r="K339" s="220">
        <f t="shared" si="153"/>
        <v>38068.47</v>
      </c>
      <c r="L339" s="69">
        <f t="shared" si="154"/>
        <v>507.52037500000006</v>
      </c>
      <c r="M339" s="226">
        <v>345</v>
      </c>
      <c r="N339" s="220">
        <f t="shared" si="155"/>
        <v>5284.0503749999998</v>
      </c>
      <c r="O339" s="226">
        <f t="shared" si="156"/>
        <v>37215.949625000001</v>
      </c>
    </row>
    <row r="340" spans="1:15" s="224" customFormat="1" ht="35.1" customHeight="1" x14ac:dyDescent="0.2">
      <c r="A340" s="218">
        <f>+A339+1</f>
        <v>158</v>
      </c>
      <c r="B340" s="219" t="s">
        <v>295</v>
      </c>
      <c r="C340" s="218" t="s">
        <v>338</v>
      </c>
      <c r="D340" s="227" t="s">
        <v>77</v>
      </c>
      <c r="E340" s="72" t="s">
        <v>98</v>
      </c>
      <c r="F340" s="220">
        <v>38000</v>
      </c>
      <c r="G340" s="220">
        <f>F340*2.87%</f>
        <v>1090.5999999999999</v>
      </c>
      <c r="H340" s="220">
        <f t="shared" si="163"/>
        <v>1155.2</v>
      </c>
      <c r="I340" s="220"/>
      <c r="J340" s="220">
        <f>+G340+H340+I340</f>
        <v>2245.8000000000002</v>
      </c>
      <c r="K340" s="220">
        <f>+F340-J340</f>
        <v>35754.199999999997</v>
      </c>
      <c r="L340" s="69">
        <f t="shared" si="154"/>
        <v>160.37987499999943</v>
      </c>
      <c r="M340" s="226">
        <v>6033.3</v>
      </c>
      <c r="N340" s="220">
        <f t="shared" si="155"/>
        <v>8439.4798749999991</v>
      </c>
      <c r="O340" s="226">
        <f t="shared" si="156"/>
        <v>29560.520125000003</v>
      </c>
    </row>
    <row r="341" spans="1:15" s="148" customFormat="1" ht="35.1" customHeight="1" x14ac:dyDescent="0.2">
      <c r="A341" s="218">
        <f>+A340+1</f>
        <v>159</v>
      </c>
      <c r="B341" s="219" t="s">
        <v>442</v>
      </c>
      <c r="C341" s="218" t="s">
        <v>338</v>
      </c>
      <c r="D341" s="227" t="s">
        <v>16</v>
      </c>
      <c r="E341" s="72" t="s">
        <v>98</v>
      </c>
      <c r="F341" s="220">
        <v>38000</v>
      </c>
      <c r="G341" s="220">
        <f t="shared" ref="G341" si="164">F341*2.87%</f>
        <v>1090.5999999999999</v>
      </c>
      <c r="H341" s="220">
        <f t="shared" si="163"/>
        <v>1155.2</v>
      </c>
      <c r="I341" s="220">
        <v>0</v>
      </c>
      <c r="J341" s="220">
        <f t="shared" ref="J341" si="165">+G341+H341+I341</f>
        <v>2245.8000000000002</v>
      </c>
      <c r="K341" s="220">
        <f t="shared" si="153"/>
        <v>35754.199999999997</v>
      </c>
      <c r="L341" s="69">
        <f t="shared" si="154"/>
        <v>160.37987499999943</v>
      </c>
      <c r="M341" s="226">
        <v>25</v>
      </c>
      <c r="N341" s="220">
        <f t="shared" si="155"/>
        <v>2431.1798749999998</v>
      </c>
      <c r="O341" s="226">
        <f t="shared" si="156"/>
        <v>35568.820124999998</v>
      </c>
    </row>
    <row r="342" spans="1:15" s="224" customFormat="1" ht="35.1" customHeight="1" x14ac:dyDescent="0.2">
      <c r="A342" s="218">
        <f t="shared" ref="A342:A344" si="166">+A341+1</f>
        <v>160</v>
      </c>
      <c r="B342" s="219" t="s">
        <v>32</v>
      </c>
      <c r="C342" s="218" t="s">
        <v>339</v>
      </c>
      <c r="D342" s="227" t="s">
        <v>290</v>
      </c>
      <c r="E342" s="72" t="s">
        <v>98</v>
      </c>
      <c r="F342" s="220">
        <v>35000</v>
      </c>
      <c r="G342" s="220">
        <f t="shared" si="160"/>
        <v>1004.5</v>
      </c>
      <c r="H342" s="220">
        <f t="shared" si="161"/>
        <v>1064</v>
      </c>
      <c r="I342" s="220">
        <v>1919.78</v>
      </c>
      <c r="J342" s="220">
        <f t="shared" si="162"/>
        <v>3988.2799999999997</v>
      </c>
      <c r="K342" s="220">
        <f t="shared" si="153"/>
        <v>31011.72</v>
      </c>
      <c r="L342" s="69">
        <f t="shared" si="154"/>
        <v>0</v>
      </c>
      <c r="M342" s="226">
        <v>1290.29</v>
      </c>
      <c r="N342" s="220">
        <f t="shared" si="155"/>
        <v>5278.57</v>
      </c>
      <c r="O342" s="226">
        <f t="shared" si="156"/>
        <v>29721.43</v>
      </c>
    </row>
    <row r="343" spans="1:15" s="224" customFormat="1" ht="35.1" customHeight="1" x14ac:dyDescent="0.2">
      <c r="A343" s="218">
        <f t="shared" si="166"/>
        <v>161</v>
      </c>
      <c r="B343" s="219" t="s">
        <v>294</v>
      </c>
      <c r="C343" s="218" t="s">
        <v>338</v>
      </c>
      <c r="D343" s="227" t="s">
        <v>77</v>
      </c>
      <c r="E343" s="72" t="s">
        <v>193</v>
      </c>
      <c r="F343" s="220">
        <v>28000</v>
      </c>
      <c r="G343" s="220">
        <f t="shared" si="160"/>
        <v>803.6</v>
      </c>
      <c r="H343" s="220">
        <f t="shared" si="161"/>
        <v>851.2</v>
      </c>
      <c r="I343" s="220"/>
      <c r="J343" s="220">
        <f t="shared" ref="J343:J344" si="167">+G343+H343+I343</f>
        <v>1654.8000000000002</v>
      </c>
      <c r="K343" s="220">
        <f t="shared" si="153"/>
        <v>26345.200000000001</v>
      </c>
      <c r="L343" s="69">
        <f t="shared" si="154"/>
        <v>0</v>
      </c>
      <c r="M343" s="226">
        <v>3659.83</v>
      </c>
      <c r="N343" s="220">
        <f t="shared" si="155"/>
        <v>5314.63</v>
      </c>
      <c r="O343" s="226">
        <f t="shared" si="156"/>
        <v>22685.37</v>
      </c>
    </row>
    <row r="344" spans="1:15" s="148" customFormat="1" ht="35.1" customHeight="1" x14ac:dyDescent="0.2">
      <c r="A344" s="218">
        <f t="shared" si="166"/>
        <v>162</v>
      </c>
      <c r="B344" s="219" t="s">
        <v>450</v>
      </c>
      <c r="C344" s="218" t="s">
        <v>338</v>
      </c>
      <c r="D344" s="227" t="s">
        <v>168</v>
      </c>
      <c r="E344" s="72" t="s">
        <v>193</v>
      </c>
      <c r="F344" s="220">
        <v>24000</v>
      </c>
      <c r="G344" s="220">
        <f t="shared" si="160"/>
        <v>688.8</v>
      </c>
      <c r="H344" s="220">
        <f t="shared" si="161"/>
        <v>729.6</v>
      </c>
      <c r="I344" s="220"/>
      <c r="J344" s="220">
        <f t="shared" si="167"/>
        <v>1418.4</v>
      </c>
      <c r="K344" s="220">
        <f>+F344-J344</f>
        <v>22581.599999999999</v>
      </c>
      <c r="L344" s="69">
        <f t="shared" si="154"/>
        <v>0</v>
      </c>
      <c r="M344" s="226">
        <v>3612.79</v>
      </c>
      <c r="N344" s="220">
        <f t="shared" si="155"/>
        <v>5031.1900000000005</v>
      </c>
      <c r="O344" s="226">
        <f t="shared" si="156"/>
        <v>18968.809999999998</v>
      </c>
    </row>
    <row r="345" spans="1:15" s="148" customFormat="1" ht="35.1" customHeight="1" x14ac:dyDescent="0.2">
      <c r="A345" s="228" t="s">
        <v>100</v>
      </c>
      <c r="B345" s="229"/>
      <c r="C345" s="229"/>
      <c r="D345" s="229"/>
      <c r="E345" s="245"/>
      <c r="F345" s="230">
        <f t="shared" ref="F345:O345" si="168">SUM(F331:F344)</f>
        <v>610500</v>
      </c>
      <c r="G345" s="230">
        <f t="shared" si="168"/>
        <v>17521.349999999999</v>
      </c>
      <c r="H345" s="230">
        <f t="shared" si="168"/>
        <v>18559.2</v>
      </c>
      <c r="I345" s="230">
        <f t="shared" si="168"/>
        <v>13438.460000000001</v>
      </c>
      <c r="J345" s="230">
        <f t="shared" si="168"/>
        <v>49519.010000000009</v>
      </c>
      <c r="K345" s="230">
        <f t="shared" si="168"/>
        <v>560980.98999999987</v>
      </c>
      <c r="L345" s="230">
        <f t="shared" si="168"/>
        <v>16047.028541666663</v>
      </c>
      <c r="M345" s="230">
        <f t="shared" si="168"/>
        <v>73027.37</v>
      </c>
      <c r="N345" s="230">
        <f t="shared" si="168"/>
        <v>138593.40854166669</v>
      </c>
      <c r="O345" s="230">
        <f t="shared" si="168"/>
        <v>471906.59145833331</v>
      </c>
    </row>
    <row r="346" spans="1:15" s="148" customFormat="1" ht="35.1" customHeight="1" thickBot="1" x14ac:dyDescent="0.25">
      <c r="A346" s="232"/>
      <c r="B346" s="266"/>
      <c r="C346" s="267"/>
      <c r="D346" s="266"/>
      <c r="E346" s="266"/>
      <c r="F346" s="268"/>
      <c r="G346" s="268"/>
      <c r="H346" s="268"/>
      <c r="I346" s="268"/>
      <c r="J346" s="268"/>
      <c r="K346" s="268"/>
      <c r="L346" s="268"/>
      <c r="M346" s="268"/>
      <c r="N346" s="268"/>
      <c r="O346" s="268"/>
    </row>
    <row r="347" spans="1:15" s="148" customFormat="1" ht="35.1" customHeight="1" thickBot="1" x14ac:dyDescent="0.25">
      <c r="A347" s="283"/>
      <c r="B347" s="284" t="s">
        <v>333</v>
      </c>
      <c r="C347" s="285"/>
      <c r="D347" s="286"/>
      <c r="E347" s="287"/>
      <c r="F347" s="288">
        <f t="shared" ref="F347:O347" si="169">+F17+F25+F29+F33+F40+F47+F51+F55+F61+F67+F71+F78+F84+F90+F94+F102+F107+F114+F120+F127+F132+F139+F144+F152+F157+F161+F164+F172+F179+F183+F188+F193+F197+F201+F207+F211+F215+F221+F226+F230+F235+F240+F274+F282+F308+F312+F317+F321+F327+F345+F148</f>
        <v>13283250</v>
      </c>
      <c r="G347" s="288">
        <f t="shared" si="169"/>
        <v>378933.27499999997</v>
      </c>
      <c r="H347" s="288">
        <f t="shared" si="169"/>
        <v>403422.59200000012</v>
      </c>
      <c r="I347" s="288">
        <f t="shared" si="169"/>
        <v>111347.23999999998</v>
      </c>
      <c r="J347" s="288">
        <f t="shared" si="169"/>
        <v>891271.10700000031</v>
      </c>
      <c r="K347" s="288">
        <f t="shared" si="169"/>
        <v>12311978.893000003</v>
      </c>
      <c r="L347" s="288">
        <f t="shared" si="169"/>
        <v>1238488.860875</v>
      </c>
      <c r="M347" s="288">
        <f t="shared" si="169"/>
        <v>903437.54000000015</v>
      </c>
      <c r="N347" s="288">
        <f t="shared" si="169"/>
        <v>3045326.4451666684</v>
      </c>
      <c r="O347" s="288">
        <f t="shared" si="169"/>
        <v>10237923.554833334</v>
      </c>
    </row>
    <row r="348" spans="1:15" s="148" customFormat="1" ht="35.1" customHeight="1" x14ac:dyDescent="0.2">
      <c r="A348" s="283"/>
      <c r="B348" s="293"/>
      <c r="C348" s="294"/>
      <c r="D348" s="293"/>
      <c r="E348" s="293"/>
      <c r="G348" s="149"/>
      <c r="H348" s="149"/>
      <c r="I348" s="149"/>
      <c r="J348" s="149"/>
      <c r="K348" s="289"/>
      <c r="L348" s="149"/>
      <c r="M348" s="149"/>
      <c r="N348" s="149"/>
      <c r="O348" s="149"/>
    </row>
    <row r="349" spans="1:15" s="148" customFormat="1" ht="35.1" customHeight="1" x14ac:dyDescent="0.2">
      <c r="A349" s="208"/>
      <c r="B349" s="147"/>
      <c r="C349" s="208"/>
      <c r="D349" s="147"/>
      <c r="E349" s="147"/>
      <c r="G349" s="149"/>
      <c r="H349" s="149"/>
      <c r="I349" s="149"/>
      <c r="J349" s="149"/>
      <c r="K349" s="149"/>
      <c r="L349" s="149"/>
      <c r="M349" s="149"/>
      <c r="N349" s="149"/>
      <c r="O349" s="289"/>
    </row>
    <row r="350" spans="1:15" s="148" customFormat="1" ht="35.1" customHeight="1" thickBot="1" x14ac:dyDescent="0.25">
      <c r="A350" s="208"/>
      <c r="B350" s="333" t="s">
        <v>638</v>
      </c>
      <c r="C350" s="333"/>
      <c r="D350" s="120"/>
      <c r="E350" s="334"/>
      <c r="F350" s="334"/>
      <c r="G350" s="149"/>
      <c r="H350" s="328"/>
      <c r="I350" s="289"/>
      <c r="J350" s="149"/>
      <c r="K350" s="296"/>
      <c r="L350" s="149"/>
      <c r="M350" s="149"/>
      <c r="N350" s="149"/>
      <c r="O350" s="149"/>
    </row>
    <row r="351" spans="1:15" s="148" customFormat="1" ht="35.1" customHeight="1" x14ac:dyDescent="0.2">
      <c r="A351" s="208"/>
      <c r="B351" s="335" t="s">
        <v>653</v>
      </c>
      <c r="C351" s="335"/>
      <c r="D351" s="120"/>
      <c r="E351" s="336"/>
      <c r="F351" s="336"/>
      <c r="G351" s="149"/>
      <c r="H351" s="149"/>
      <c r="I351" s="149"/>
      <c r="J351" s="149"/>
      <c r="K351" s="296"/>
      <c r="L351" s="149"/>
      <c r="M351" s="149"/>
      <c r="N351" s="149"/>
      <c r="O351" s="149"/>
    </row>
    <row r="352" spans="1:15" s="148" customFormat="1" ht="35.1" customHeight="1" x14ac:dyDescent="0.2">
      <c r="A352" s="208"/>
      <c r="B352" s="147"/>
      <c r="C352" s="208"/>
      <c r="D352" s="147"/>
      <c r="E352" s="147"/>
      <c r="G352" s="149"/>
      <c r="H352" s="149"/>
      <c r="I352" s="149"/>
      <c r="J352" s="149"/>
      <c r="K352" s="296"/>
      <c r="L352" s="149"/>
      <c r="M352" s="149"/>
      <c r="N352" s="149"/>
      <c r="O352" s="149"/>
    </row>
    <row r="353" spans="1:15" s="224" customFormat="1" ht="35.1" customHeight="1" x14ac:dyDescent="0.2">
      <c r="A353" s="208"/>
      <c r="B353" s="147"/>
      <c r="C353" s="208"/>
      <c r="D353" s="147"/>
      <c r="E353" s="147"/>
      <c r="F353" s="148"/>
      <c r="G353" s="149"/>
      <c r="H353" s="149"/>
      <c r="I353" s="149"/>
      <c r="J353" s="149"/>
      <c r="K353" s="296"/>
      <c r="L353" s="149"/>
      <c r="M353" s="149"/>
      <c r="N353" s="149"/>
      <c r="O353" s="149"/>
    </row>
    <row r="354" spans="1:15" s="148" customFormat="1" ht="35.1" customHeight="1" x14ac:dyDescent="0.2">
      <c r="A354" s="208"/>
      <c r="B354" s="147"/>
      <c r="C354" s="208"/>
      <c r="D354" s="147"/>
      <c r="E354" s="147"/>
      <c r="G354" s="149"/>
      <c r="H354" s="149"/>
      <c r="I354" s="149"/>
      <c r="J354" s="149"/>
      <c r="K354" s="296"/>
      <c r="L354" s="149"/>
      <c r="M354" s="149"/>
      <c r="N354" s="149"/>
      <c r="O354" s="149"/>
    </row>
    <row r="355" spans="1:15" s="148" customFormat="1" ht="35.1" customHeight="1" x14ac:dyDescent="0.2">
      <c r="A355" s="208"/>
      <c r="B355" s="147"/>
      <c r="C355" s="208"/>
      <c r="D355" s="147"/>
      <c r="E355" s="147"/>
      <c r="G355" s="149"/>
      <c r="H355" s="149"/>
      <c r="I355" s="149"/>
      <c r="J355" s="149"/>
      <c r="K355" s="296"/>
      <c r="L355" s="149"/>
      <c r="M355" s="149"/>
      <c r="N355" s="149"/>
      <c r="O355" s="149"/>
    </row>
    <row r="356" spans="1:15" s="148" customFormat="1" ht="35.1" customHeight="1" x14ac:dyDescent="0.2">
      <c r="A356" s="208"/>
      <c r="B356" s="147"/>
      <c r="C356" s="208"/>
      <c r="D356" s="147"/>
      <c r="E356" s="147"/>
      <c r="G356" s="149"/>
      <c r="H356" s="149"/>
      <c r="I356" s="149"/>
      <c r="J356" s="149"/>
      <c r="K356" s="296"/>
      <c r="L356" s="149"/>
      <c r="M356" s="149"/>
      <c r="N356" s="149"/>
      <c r="O356" s="149"/>
    </row>
    <row r="357" spans="1:15" s="148" customFormat="1" ht="35.1" customHeight="1" x14ac:dyDescent="0.2">
      <c r="A357" s="208"/>
      <c r="B357" s="147"/>
      <c r="C357" s="208"/>
      <c r="D357" s="147"/>
      <c r="E357" s="147"/>
      <c r="G357" s="149"/>
      <c r="H357" s="149"/>
      <c r="I357" s="149"/>
      <c r="J357" s="149"/>
      <c r="K357" s="149"/>
      <c r="L357" s="149"/>
      <c r="M357" s="149"/>
      <c r="N357" s="149"/>
      <c r="O357" s="149"/>
    </row>
    <row r="358" spans="1:15" s="223" customFormat="1" ht="35.1" customHeight="1" x14ac:dyDescent="0.2">
      <c r="A358" s="208"/>
      <c r="B358" s="147"/>
      <c r="C358" s="208"/>
      <c r="D358" s="147"/>
      <c r="E358" s="147"/>
      <c r="F358" s="148"/>
      <c r="G358" s="149"/>
      <c r="H358" s="149"/>
      <c r="I358" s="149"/>
      <c r="J358" s="149"/>
      <c r="K358" s="149"/>
      <c r="L358" s="149"/>
      <c r="M358" s="149"/>
      <c r="N358" s="149"/>
      <c r="O358" s="149"/>
    </row>
    <row r="359" spans="1:15" s="223" customFormat="1" ht="35.1" customHeight="1" x14ac:dyDescent="0.2">
      <c r="A359" s="208"/>
      <c r="B359" s="147"/>
      <c r="C359" s="208"/>
      <c r="D359" s="147"/>
      <c r="E359" s="147"/>
      <c r="F359" s="148"/>
      <c r="G359" s="149"/>
      <c r="H359" s="149"/>
      <c r="I359" s="149"/>
      <c r="J359" s="149"/>
      <c r="K359" s="149"/>
      <c r="L359" s="149"/>
      <c r="M359" s="149"/>
      <c r="N359" s="149"/>
      <c r="O359" s="149"/>
    </row>
    <row r="16862" spans="2:2" ht="35.1" customHeight="1" x14ac:dyDescent="0.2">
      <c r="B16862" s="144">
        <f>SUM(B6:B16861)</f>
        <v>0</v>
      </c>
    </row>
    <row r="16864" spans="2:2" s="113" customFormat="1" ht="35.1" customHeight="1" x14ac:dyDescent="0.2">
      <c r="B16864" s="144">
        <f>SUM(B16862)</f>
        <v>0</v>
      </c>
    </row>
    <row r="1000187" spans="14:14" ht="35.1" customHeight="1" x14ac:dyDescent="0.2">
      <c r="N1000187" s="123" t="e">
        <f>SUM(#REF!)</f>
        <v>#REF!</v>
      </c>
    </row>
  </sheetData>
  <mergeCells count="25">
    <mergeCell ref="B351:C351"/>
    <mergeCell ref="B350:C350"/>
    <mergeCell ref="A122:E122"/>
    <mergeCell ref="A129:E129"/>
    <mergeCell ref="A134:E134"/>
    <mergeCell ref="A150:E150"/>
    <mergeCell ref="A223:D223"/>
    <mergeCell ref="E350:F350"/>
    <mergeCell ref="E351:F351"/>
    <mergeCell ref="A1:O1"/>
    <mergeCell ref="A2:O2"/>
    <mergeCell ref="A3:O3"/>
    <mergeCell ref="A86:D86"/>
    <mergeCell ref="G5:J5"/>
    <mergeCell ref="A53:B53"/>
    <mergeCell ref="A57:B57"/>
    <mergeCell ref="A63:B63"/>
    <mergeCell ref="A68:C68"/>
    <mergeCell ref="A73:D73"/>
    <mergeCell ref="A80:D80"/>
    <mergeCell ref="A92:E92"/>
    <mergeCell ref="A96:E96"/>
    <mergeCell ref="A104:E104"/>
    <mergeCell ref="A109:E109"/>
    <mergeCell ref="A115:E115"/>
  </mergeCells>
  <pageMargins left="0.23622047244094488" right="0.23622047244094488" top="0.31" bottom="0.25" header="0.31496062992125984" footer="0.26"/>
  <pageSetup paperSize="5" scale="51" fitToHeight="0" orientation="landscape" r:id="rId1"/>
  <rowBreaks count="14" manualBreakCount="14">
    <brk id="33" max="14" man="1"/>
    <brk id="58" max="14" man="1"/>
    <brk id="85" max="14" man="1"/>
    <brk id="112" max="14" man="1"/>
    <brk id="139" max="14" man="1"/>
    <brk id="164" max="14" man="1"/>
    <brk id="188" max="14" man="1"/>
    <brk id="216" max="14" man="1"/>
    <brk id="241" max="14" man="1"/>
    <brk id="267" max="14" man="1"/>
    <brk id="293" max="14" man="1"/>
    <brk id="318" max="14" man="1"/>
    <brk id="343" max="14" man="1"/>
    <brk id="359" max="15" man="1"/>
  </rowBreaks>
  <ignoredErrors>
    <ignoredError sqref="H15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F6AE-B7EA-4DD9-ABA0-965AC9C19624}">
  <sheetPr>
    <pageSetUpPr fitToPage="1"/>
  </sheetPr>
  <dimension ref="B1:L999974"/>
  <sheetViews>
    <sheetView showGridLines="0" zoomScale="82" zoomScaleNormal="82" workbookViewId="0">
      <pane xSplit="3" ySplit="6" topLeftCell="D111" activePane="bottomRight" state="frozen"/>
      <selection pane="topRight" activeCell="C1" sqref="C1"/>
      <selection pane="bottomLeft" activeCell="A9" sqref="A9"/>
      <selection pane="bottomRight" activeCell="B2" sqref="B2:L2"/>
    </sheetView>
  </sheetViews>
  <sheetFormatPr baseColWidth="10" defaultColWidth="11.42578125" defaultRowHeight="20.100000000000001" customHeight="1" x14ac:dyDescent="0.2"/>
  <cols>
    <col min="1" max="1" width="1.85546875" style="1" customWidth="1"/>
    <col min="2" max="2" width="6.42578125" style="3" customWidth="1"/>
    <col min="3" max="3" width="46.42578125" style="12" customWidth="1"/>
    <col min="4" max="4" width="9.85546875" style="3" customWidth="1"/>
    <col min="5" max="5" width="42.7109375" style="12" customWidth="1"/>
    <col min="6" max="6" width="30" style="89" customWidth="1"/>
    <col min="7" max="7" width="20.7109375" style="2" customWidth="1"/>
    <col min="8" max="9" width="17.7109375" style="1" customWidth="1"/>
    <col min="10" max="10" width="24.42578125" style="1" customWidth="1"/>
    <col min="11" max="11" width="24.28515625" style="1" customWidth="1"/>
    <col min="12" max="12" width="24.140625" style="1" customWidth="1"/>
    <col min="13" max="13" width="17.28515625" style="1" customWidth="1"/>
    <col min="14" max="16384" width="11.42578125" style="1"/>
  </cols>
  <sheetData>
    <row r="1" spans="2:12" ht="20.100000000000001" customHeight="1" x14ac:dyDescent="0.35">
      <c r="B1" s="358" t="s">
        <v>328</v>
      </c>
      <c r="C1" s="358"/>
      <c r="D1" s="358"/>
      <c r="E1" s="358"/>
      <c r="F1" s="358"/>
      <c r="G1" s="358"/>
      <c r="H1" s="358"/>
      <c r="I1" s="358"/>
      <c r="J1" s="358"/>
      <c r="K1" s="358"/>
      <c r="L1" s="358"/>
    </row>
    <row r="2" spans="2:12" ht="20.100000000000001" customHeight="1" x14ac:dyDescent="0.35">
      <c r="B2" s="359" t="s">
        <v>343</v>
      </c>
      <c r="C2" s="359"/>
      <c r="D2" s="359"/>
      <c r="E2" s="359"/>
      <c r="F2" s="359"/>
      <c r="G2" s="359"/>
      <c r="H2" s="359"/>
      <c r="I2" s="359"/>
      <c r="J2" s="359"/>
      <c r="K2" s="359"/>
      <c r="L2" s="359"/>
    </row>
    <row r="3" spans="2:12" ht="20.100000000000001" customHeight="1" x14ac:dyDescent="0.3">
      <c r="B3" s="360" t="s">
        <v>650</v>
      </c>
      <c r="C3" s="360"/>
      <c r="D3" s="360"/>
      <c r="E3" s="360"/>
      <c r="F3" s="360"/>
      <c r="G3" s="360"/>
      <c r="H3" s="360"/>
      <c r="I3" s="360"/>
      <c r="J3" s="360"/>
      <c r="K3" s="360"/>
      <c r="L3" s="360"/>
    </row>
    <row r="4" spans="2:12" ht="20.100000000000001" customHeight="1" thickBot="1" x14ac:dyDescent="0.35">
      <c r="B4" s="360"/>
      <c r="C4" s="360"/>
      <c r="D4" s="6"/>
      <c r="E4" s="11"/>
      <c r="F4" s="85"/>
      <c r="G4" s="6"/>
    </row>
    <row r="5" spans="2:12" ht="20.100000000000001" customHeight="1" thickBot="1" x14ac:dyDescent="0.3">
      <c r="B5" s="15"/>
      <c r="C5" s="16"/>
      <c r="D5" s="15"/>
      <c r="E5" s="16"/>
      <c r="F5" s="86"/>
      <c r="G5" s="17"/>
      <c r="H5" s="361" t="s">
        <v>96</v>
      </c>
      <c r="I5" s="362"/>
      <c r="J5" s="18"/>
      <c r="K5" s="18"/>
      <c r="L5" s="18"/>
    </row>
    <row r="6" spans="2:12" s="7" customFormat="1" ht="36.75" customHeight="1" thickBot="1" x14ac:dyDescent="0.3">
      <c r="B6" s="19" t="s">
        <v>0</v>
      </c>
      <c r="C6" s="19" t="s">
        <v>296</v>
      </c>
      <c r="D6" s="19" t="s">
        <v>340</v>
      </c>
      <c r="E6" s="19" t="s">
        <v>102</v>
      </c>
      <c r="F6" s="92" t="s">
        <v>90</v>
      </c>
      <c r="G6" s="19" t="s">
        <v>99</v>
      </c>
      <c r="H6" s="20" t="s">
        <v>1</v>
      </c>
      <c r="I6" s="20" t="s">
        <v>2</v>
      </c>
      <c r="J6" s="21" t="s">
        <v>91</v>
      </c>
      <c r="K6" s="21" t="s">
        <v>3</v>
      </c>
      <c r="L6" s="21" t="s">
        <v>92</v>
      </c>
    </row>
    <row r="7" spans="2:12" s="25" customFormat="1" ht="20.100000000000001" customHeight="1" thickBot="1" x14ac:dyDescent="0.3">
      <c r="B7" s="349" t="s">
        <v>149</v>
      </c>
      <c r="C7" s="350"/>
      <c r="D7" s="350"/>
      <c r="E7" s="350"/>
      <c r="F7" s="350"/>
      <c r="G7" s="350"/>
      <c r="H7" s="350"/>
      <c r="I7" s="350"/>
      <c r="J7" s="350"/>
      <c r="K7" s="350"/>
      <c r="L7" s="351"/>
    </row>
    <row r="8" spans="2:12" s="25" customFormat="1" ht="28.5" customHeight="1" x14ac:dyDescent="0.25">
      <c r="B8" s="22">
        <f>1</f>
        <v>1</v>
      </c>
      <c r="C8" s="54" t="s">
        <v>113</v>
      </c>
      <c r="D8" s="22" t="s">
        <v>339</v>
      </c>
      <c r="E8" s="55" t="s">
        <v>365</v>
      </c>
      <c r="F8" s="60" t="s">
        <v>97</v>
      </c>
      <c r="G8" s="56">
        <v>19500</v>
      </c>
      <c r="H8" s="56">
        <v>559.64999999999964</v>
      </c>
      <c r="I8" s="53">
        <v>592.79999999999995</v>
      </c>
      <c r="J8" s="56">
        <v>4586.8900000000003</v>
      </c>
      <c r="K8" s="53">
        <f>SUM(H8:J8)</f>
        <v>5739.34</v>
      </c>
      <c r="L8" s="44">
        <f>+G8-K8</f>
        <v>13760.66</v>
      </c>
    </row>
    <row r="9" spans="2:12" s="25" customFormat="1" ht="20.100000000000001" customHeight="1" x14ac:dyDescent="0.25">
      <c r="B9" s="352" t="s">
        <v>100</v>
      </c>
      <c r="C9" s="353"/>
      <c r="D9" s="353"/>
      <c r="E9" s="353"/>
      <c r="F9" s="353"/>
      <c r="G9" s="23">
        <f>SUM(G8)</f>
        <v>19500</v>
      </c>
      <c r="H9" s="23">
        <f t="shared" ref="H9:L9" si="0">SUM(H8)</f>
        <v>559.64999999999964</v>
      </c>
      <c r="I9" s="23">
        <f t="shared" si="0"/>
        <v>592.79999999999995</v>
      </c>
      <c r="J9" s="23">
        <f t="shared" si="0"/>
        <v>4586.8900000000003</v>
      </c>
      <c r="K9" s="23">
        <f t="shared" si="0"/>
        <v>5739.34</v>
      </c>
      <c r="L9" s="23">
        <f t="shared" si="0"/>
        <v>13760.66</v>
      </c>
    </row>
    <row r="10" spans="2:12" s="26" customFormat="1" ht="20.100000000000001" customHeight="1" thickBot="1" x14ac:dyDescent="0.3">
      <c r="B10" s="34"/>
      <c r="C10" s="34"/>
      <c r="D10" s="34"/>
      <c r="E10" s="34"/>
      <c r="F10" s="93"/>
    </row>
    <row r="11" spans="2:12" s="41" customFormat="1" ht="20.100000000000001" customHeight="1" thickBot="1" x14ac:dyDescent="0.3">
      <c r="B11" s="349" t="s">
        <v>124</v>
      </c>
      <c r="C11" s="350"/>
      <c r="D11" s="350"/>
      <c r="E11" s="350"/>
      <c r="F11" s="350"/>
      <c r="G11" s="350"/>
      <c r="H11" s="350"/>
      <c r="I11" s="350"/>
      <c r="J11" s="350"/>
      <c r="K11" s="350"/>
      <c r="L11" s="351"/>
    </row>
    <row r="12" spans="2:12" s="25" customFormat="1" ht="27" customHeight="1" x14ac:dyDescent="0.25">
      <c r="B12" s="22">
        <f>+B8+1</f>
        <v>2</v>
      </c>
      <c r="C12" s="57" t="s">
        <v>33</v>
      </c>
      <c r="D12" s="58" t="s">
        <v>339</v>
      </c>
      <c r="E12" s="59" t="s">
        <v>361</v>
      </c>
      <c r="F12" s="60" t="s">
        <v>98</v>
      </c>
      <c r="G12" s="43">
        <v>53000</v>
      </c>
      <c r="H12" s="43">
        <f>+G12*2.87%</f>
        <v>1521.1</v>
      </c>
      <c r="I12" s="43">
        <f>+G12*3.04%</f>
        <v>1611.2</v>
      </c>
      <c r="J12" s="53">
        <v>12466.93</v>
      </c>
      <c r="K12" s="43">
        <f>SUM(H12:J12)</f>
        <v>15599.23</v>
      </c>
      <c r="L12" s="44">
        <f>+G12-K12</f>
        <v>37400.770000000004</v>
      </c>
    </row>
    <row r="13" spans="2:12" s="25" customFormat="1" ht="20.100000000000001" customHeight="1" x14ac:dyDescent="0.25">
      <c r="B13" s="352" t="s">
        <v>100</v>
      </c>
      <c r="C13" s="353"/>
      <c r="D13" s="353"/>
      <c r="E13" s="353"/>
      <c r="F13" s="354"/>
      <c r="G13" s="23">
        <f>+G12</f>
        <v>53000</v>
      </c>
      <c r="H13" s="23">
        <f t="shared" ref="H13:L13" si="1">+H12</f>
        <v>1521.1</v>
      </c>
      <c r="I13" s="23">
        <f t="shared" si="1"/>
        <v>1611.2</v>
      </c>
      <c r="J13" s="23">
        <f t="shared" si="1"/>
        <v>12466.93</v>
      </c>
      <c r="K13" s="23">
        <f t="shared" si="1"/>
        <v>15599.23</v>
      </c>
      <c r="L13" s="23">
        <f t="shared" si="1"/>
        <v>37400.770000000004</v>
      </c>
    </row>
    <row r="14" spans="2:12" s="25" customFormat="1" ht="20.100000000000001" customHeight="1" thickBot="1" x14ac:dyDescent="0.3">
      <c r="B14" s="34"/>
      <c r="C14" s="34"/>
      <c r="D14" s="34"/>
      <c r="E14" s="34"/>
      <c r="F14" s="93"/>
      <c r="G14" s="51"/>
      <c r="H14" s="51"/>
      <c r="I14" s="51"/>
      <c r="J14" s="51"/>
      <c r="K14" s="51"/>
      <c r="L14" s="51"/>
    </row>
    <row r="15" spans="2:12" s="41" customFormat="1" ht="20.100000000000001" customHeight="1" thickBot="1" x14ac:dyDescent="0.3">
      <c r="B15" s="349" t="s">
        <v>207</v>
      </c>
      <c r="C15" s="350"/>
      <c r="D15" s="350"/>
      <c r="E15" s="350"/>
      <c r="F15" s="350"/>
      <c r="G15" s="350"/>
      <c r="H15" s="350"/>
      <c r="I15" s="350"/>
      <c r="J15" s="350"/>
      <c r="K15" s="350"/>
      <c r="L15" s="351"/>
    </row>
    <row r="16" spans="2:12" s="25" customFormat="1" ht="27" customHeight="1" x14ac:dyDescent="0.25">
      <c r="B16" s="42">
        <f>+B12+1</f>
        <v>3</v>
      </c>
      <c r="C16" s="57" t="s">
        <v>41</v>
      </c>
      <c r="D16" s="58" t="s">
        <v>339</v>
      </c>
      <c r="E16" s="59" t="s">
        <v>151</v>
      </c>
      <c r="F16" s="60" t="s">
        <v>98</v>
      </c>
      <c r="G16" s="53">
        <v>63500</v>
      </c>
      <c r="H16" s="43">
        <v>1822.45</v>
      </c>
      <c r="I16" s="43">
        <v>1930.4</v>
      </c>
      <c r="J16" s="53">
        <v>14885.707500000004</v>
      </c>
      <c r="K16" s="43">
        <v>18689.64</v>
      </c>
      <c r="L16" s="44">
        <f>+G16-K16</f>
        <v>44810.36</v>
      </c>
    </row>
    <row r="17" spans="2:12" s="25" customFormat="1" ht="20.100000000000001" customHeight="1" x14ac:dyDescent="0.25">
      <c r="B17" s="352" t="s">
        <v>100</v>
      </c>
      <c r="C17" s="353"/>
      <c r="D17" s="353"/>
      <c r="E17" s="353"/>
      <c r="F17" s="354"/>
      <c r="G17" s="23">
        <f t="shared" ref="G17:L17" si="2">SUM(G16:G16)</f>
        <v>63500</v>
      </c>
      <c r="H17" s="23">
        <f t="shared" si="2"/>
        <v>1822.45</v>
      </c>
      <c r="I17" s="23">
        <f t="shared" si="2"/>
        <v>1930.4</v>
      </c>
      <c r="J17" s="23">
        <f t="shared" si="2"/>
        <v>14885.707500000004</v>
      </c>
      <c r="K17" s="23">
        <f t="shared" si="2"/>
        <v>18689.64</v>
      </c>
      <c r="L17" s="23">
        <f t="shared" si="2"/>
        <v>44810.36</v>
      </c>
    </row>
    <row r="18" spans="2:12" s="25" customFormat="1" ht="20.100000000000001" customHeight="1" thickBot="1" x14ac:dyDescent="0.3">
      <c r="B18" s="34"/>
      <c r="C18" s="34"/>
      <c r="D18" s="34"/>
      <c r="E18" s="34"/>
      <c r="F18" s="93"/>
      <c r="G18" s="26"/>
      <c r="H18" s="26"/>
      <c r="I18" s="26"/>
      <c r="J18" s="26"/>
      <c r="K18" s="26"/>
      <c r="L18" s="26"/>
    </row>
    <row r="19" spans="2:12" s="25" customFormat="1" ht="20.100000000000001" customHeight="1" thickBot="1" x14ac:dyDescent="0.3">
      <c r="B19" s="349" t="s">
        <v>472</v>
      </c>
      <c r="C19" s="350"/>
      <c r="D19" s="350"/>
      <c r="E19" s="350"/>
      <c r="F19" s="350"/>
      <c r="G19" s="350"/>
      <c r="H19" s="350"/>
      <c r="I19" s="350"/>
      <c r="J19" s="350"/>
      <c r="K19" s="350"/>
      <c r="L19" s="351"/>
    </row>
    <row r="20" spans="2:12" s="51" customFormat="1" ht="27.75" customHeight="1" x14ac:dyDescent="0.25">
      <c r="B20" s="42">
        <f>+B16+1</f>
        <v>4</v>
      </c>
      <c r="C20" s="57" t="s">
        <v>471</v>
      </c>
      <c r="D20" s="58" t="s">
        <v>339</v>
      </c>
      <c r="E20" s="59" t="s">
        <v>36</v>
      </c>
      <c r="F20" s="60" t="s">
        <v>98</v>
      </c>
      <c r="G20" s="53">
        <v>20000</v>
      </c>
      <c r="H20" s="43">
        <f>+G20*2.87%</f>
        <v>574</v>
      </c>
      <c r="I20" s="43">
        <f>+G20*3.04%</f>
        <v>608</v>
      </c>
      <c r="J20" s="53">
        <v>3777.43</v>
      </c>
      <c r="K20" s="43">
        <v>5000.3</v>
      </c>
      <c r="L20" s="44">
        <f>+G20-K20</f>
        <v>14999.7</v>
      </c>
    </row>
    <row r="21" spans="2:12" s="25" customFormat="1" ht="20.100000000000001" customHeight="1" thickBot="1" x14ac:dyDescent="0.3">
      <c r="B21" s="352" t="s">
        <v>100</v>
      </c>
      <c r="C21" s="353"/>
      <c r="D21" s="353"/>
      <c r="E21" s="353"/>
      <c r="F21" s="354"/>
      <c r="G21" s="23">
        <f t="shared" ref="G21:L21" si="3">SUM(G20:G20)</f>
        <v>20000</v>
      </c>
      <c r="H21" s="23">
        <f t="shared" si="3"/>
        <v>574</v>
      </c>
      <c r="I21" s="23">
        <f t="shared" si="3"/>
        <v>608</v>
      </c>
      <c r="J21" s="23">
        <f t="shared" si="3"/>
        <v>3777.43</v>
      </c>
      <c r="K21" s="23">
        <f t="shared" si="3"/>
        <v>5000.3</v>
      </c>
      <c r="L21" s="23">
        <f t="shared" si="3"/>
        <v>14999.7</v>
      </c>
    </row>
    <row r="22" spans="2:12" s="25" customFormat="1" ht="20.100000000000001" customHeight="1" thickBot="1" x14ac:dyDescent="0.3">
      <c r="B22" s="349" t="s">
        <v>128</v>
      </c>
      <c r="C22" s="350"/>
      <c r="D22" s="350"/>
      <c r="E22" s="350"/>
      <c r="F22" s="350"/>
      <c r="G22" s="350"/>
      <c r="H22" s="350"/>
      <c r="I22" s="350"/>
      <c r="J22" s="350"/>
      <c r="K22" s="350"/>
      <c r="L22" s="351"/>
    </row>
    <row r="23" spans="2:12" s="25" customFormat="1" ht="33.75" customHeight="1" x14ac:dyDescent="0.25">
      <c r="B23" s="58">
        <f>+B20+1</f>
        <v>5</v>
      </c>
      <c r="C23" s="25" t="s">
        <v>577</v>
      </c>
      <c r="D23" s="25" t="s">
        <v>339</v>
      </c>
      <c r="E23" s="317" t="s">
        <v>578</v>
      </c>
      <c r="F23" s="25" t="s">
        <v>98</v>
      </c>
      <c r="G23" s="53">
        <v>35000</v>
      </c>
      <c r="H23" s="43">
        <f>+G23*2.87%</f>
        <v>1004.5</v>
      </c>
      <c r="I23" s="43">
        <f>+G23*3.04%</f>
        <v>1064</v>
      </c>
      <c r="J23" s="53">
        <v>8130.71</v>
      </c>
      <c r="K23" s="43">
        <v>10301.379999999999</v>
      </c>
      <c r="L23" s="44">
        <f>+G23-K23</f>
        <v>24698.620000000003</v>
      </c>
    </row>
    <row r="24" spans="2:12" s="51" customFormat="1" ht="20.100000000000001" customHeight="1" x14ac:dyDescent="0.25">
      <c r="B24" s="352" t="s">
        <v>100</v>
      </c>
      <c r="C24" s="353"/>
      <c r="D24" s="353"/>
      <c r="E24" s="353"/>
      <c r="F24" s="354"/>
      <c r="G24" s="23">
        <f>+G23</f>
        <v>35000</v>
      </c>
      <c r="H24" s="23">
        <f t="shared" ref="H24:L24" si="4">+H23</f>
        <v>1004.5</v>
      </c>
      <c r="I24" s="23">
        <f t="shared" si="4"/>
        <v>1064</v>
      </c>
      <c r="J24" s="23">
        <f t="shared" si="4"/>
        <v>8130.71</v>
      </c>
      <c r="K24" s="23">
        <f t="shared" si="4"/>
        <v>10301.379999999999</v>
      </c>
      <c r="L24" s="23">
        <f t="shared" si="4"/>
        <v>24698.620000000003</v>
      </c>
    </row>
    <row r="25" spans="2:12" s="25" customFormat="1" ht="20.100000000000001" customHeight="1" thickBot="1" x14ac:dyDescent="0.3">
      <c r="B25" s="30"/>
      <c r="C25" s="28"/>
      <c r="D25" s="30"/>
      <c r="E25" s="29"/>
      <c r="F25" s="87"/>
      <c r="L25" s="24"/>
    </row>
    <row r="26" spans="2:12" s="25" customFormat="1" ht="20.100000000000001" customHeight="1" thickBot="1" x14ac:dyDescent="0.3">
      <c r="B26" s="355" t="s">
        <v>155</v>
      </c>
      <c r="C26" s="356"/>
      <c r="D26" s="356"/>
      <c r="E26" s="356"/>
      <c r="F26" s="356"/>
      <c r="G26" s="356"/>
      <c r="H26" s="356"/>
      <c r="I26" s="356"/>
      <c r="J26" s="356"/>
      <c r="K26" s="356"/>
      <c r="L26" s="357"/>
    </row>
    <row r="27" spans="2:12" s="25" customFormat="1" ht="30" customHeight="1" x14ac:dyDescent="0.25">
      <c r="B27" s="58">
        <f>+B23+1</f>
        <v>6</v>
      </c>
      <c r="C27" s="57" t="s">
        <v>579</v>
      </c>
      <c r="D27" s="58" t="s">
        <v>339</v>
      </c>
      <c r="E27" s="55" t="s">
        <v>211</v>
      </c>
      <c r="F27" s="60" t="s">
        <v>98</v>
      </c>
      <c r="G27" s="53">
        <v>51000</v>
      </c>
      <c r="H27" s="43">
        <f>+G27*2.87%</f>
        <v>1463.7</v>
      </c>
      <c r="I27" s="43">
        <f>+G27*3.04%</f>
        <v>1550.4</v>
      </c>
      <c r="J27" s="43">
        <v>11894.32</v>
      </c>
      <c r="K27" s="43">
        <v>15010.58</v>
      </c>
      <c r="L27" s="44">
        <f>+G27-K27</f>
        <v>35989.42</v>
      </c>
    </row>
    <row r="28" spans="2:12" s="25" customFormat="1" ht="20.100000000000001" customHeight="1" x14ac:dyDescent="0.25">
      <c r="B28" s="352" t="s">
        <v>100</v>
      </c>
      <c r="C28" s="353"/>
      <c r="D28" s="353"/>
      <c r="E28" s="353"/>
      <c r="F28" s="354"/>
      <c r="G28" s="23">
        <f t="shared" ref="G28:L28" si="5">SUM(G27:G27)</f>
        <v>51000</v>
      </c>
      <c r="H28" s="23">
        <f t="shared" si="5"/>
        <v>1463.7</v>
      </c>
      <c r="I28" s="23">
        <f t="shared" si="5"/>
        <v>1550.4</v>
      </c>
      <c r="J28" s="23">
        <f t="shared" si="5"/>
        <v>11894.32</v>
      </c>
      <c r="K28" s="23">
        <f t="shared" si="5"/>
        <v>15010.58</v>
      </c>
      <c r="L28" s="23">
        <f t="shared" si="5"/>
        <v>35989.42</v>
      </c>
    </row>
    <row r="29" spans="2:12" s="26" customFormat="1" ht="20.100000000000001" customHeight="1" thickBot="1" x14ac:dyDescent="0.3">
      <c r="B29" s="34"/>
      <c r="C29" s="34"/>
      <c r="D29" s="34"/>
      <c r="E29" s="34"/>
      <c r="F29" s="93"/>
    </row>
    <row r="30" spans="2:12" s="25" customFormat="1" ht="20.100000000000001" customHeight="1" thickBot="1" x14ac:dyDescent="0.3">
      <c r="B30" s="355" t="s">
        <v>129</v>
      </c>
      <c r="C30" s="356"/>
      <c r="D30" s="356"/>
      <c r="E30" s="356"/>
      <c r="F30" s="356"/>
      <c r="G30" s="356"/>
      <c r="H30" s="356"/>
      <c r="I30" s="356"/>
      <c r="J30" s="356"/>
      <c r="K30" s="356"/>
      <c r="L30" s="357"/>
    </row>
    <row r="31" spans="2:12" s="52" customFormat="1" ht="34.5" customHeight="1" x14ac:dyDescent="0.25">
      <c r="B31" s="42">
        <f>+B27+1</f>
        <v>7</v>
      </c>
      <c r="C31" s="57" t="s">
        <v>46</v>
      </c>
      <c r="D31" s="58" t="s">
        <v>595</v>
      </c>
      <c r="E31" s="55" t="s">
        <v>602</v>
      </c>
      <c r="F31" s="60" t="s">
        <v>166</v>
      </c>
      <c r="G31" s="53">
        <v>10000</v>
      </c>
      <c r="H31" s="43">
        <f>+G31*2.87%</f>
        <v>287</v>
      </c>
      <c r="I31" s="43">
        <f>+G31*3.04%</f>
        <v>304</v>
      </c>
      <c r="J31" s="53">
        <v>1881.8</v>
      </c>
      <c r="K31" s="53">
        <f>SUM(H31:J31)</f>
        <v>2472.8000000000002</v>
      </c>
      <c r="L31" s="44">
        <f>+G31-K31</f>
        <v>7527.2</v>
      </c>
    </row>
    <row r="32" spans="2:12" s="52" customFormat="1" ht="34.5" customHeight="1" x14ac:dyDescent="0.25">
      <c r="B32" s="42">
        <f>+B31+1</f>
        <v>8</v>
      </c>
      <c r="C32" s="57" t="s">
        <v>47</v>
      </c>
      <c r="D32" s="58" t="s">
        <v>339</v>
      </c>
      <c r="E32" s="55" t="s">
        <v>156</v>
      </c>
      <c r="F32" s="60" t="s">
        <v>98</v>
      </c>
      <c r="G32" s="53">
        <v>52000</v>
      </c>
      <c r="H32" s="43">
        <v>1492.4</v>
      </c>
      <c r="I32" s="43">
        <v>1580.8</v>
      </c>
      <c r="J32" s="53">
        <v>12231.7</v>
      </c>
      <c r="K32" s="53">
        <f>SUM(H32:J32)</f>
        <v>15304.900000000001</v>
      </c>
      <c r="L32" s="44">
        <f>+G32-K32</f>
        <v>36695.1</v>
      </c>
    </row>
    <row r="33" spans="2:12" s="25" customFormat="1" ht="20.100000000000001" customHeight="1" x14ac:dyDescent="0.25">
      <c r="B33" s="352" t="s">
        <v>100</v>
      </c>
      <c r="C33" s="353"/>
      <c r="D33" s="353"/>
      <c r="E33" s="353"/>
      <c r="F33" s="354"/>
      <c r="G33" s="23">
        <f t="shared" ref="G33:K33" si="6">SUM(G31:G32)</f>
        <v>62000</v>
      </c>
      <c r="H33" s="23">
        <f t="shared" si="6"/>
        <v>1779.4</v>
      </c>
      <c r="I33" s="23">
        <f t="shared" si="6"/>
        <v>1884.8</v>
      </c>
      <c r="J33" s="23">
        <f t="shared" si="6"/>
        <v>14113.5</v>
      </c>
      <c r="K33" s="23">
        <f t="shared" si="6"/>
        <v>17777.7</v>
      </c>
      <c r="L33" s="23">
        <f>SUM(L31:L32)</f>
        <v>44222.299999999996</v>
      </c>
    </row>
    <row r="34" spans="2:12" s="25" customFormat="1" ht="20.100000000000001" customHeight="1" thickBot="1" x14ac:dyDescent="0.3">
      <c r="B34" s="30"/>
      <c r="C34" s="28"/>
      <c r="D34" s="30"/>
      <c r="E34" s="29"/>
      <c r="F34" s="87"/>
      <c r="L34" s="24"/>
    </row>
    <row r="35" spans="2:12" s="25" customFormat="1" ht="20.100000000000001" customHeight="1" thickBot="1" x14ac:dyDescent="0.3">
      <c r="B35" s="355" t="s">
        <v>130</v>
      </c>
      <c r="C35" s="356"/>
      <c r="D35" s="356"/>
      <c r="E35" s="356"/>
      <c r="F35" s="356"/>
      <c r="G35" s="356"/>
      <c r="H35" s="356"/>
      <c r="I35" s="356"/>
      <c r="J35" s="356"/>
      <c r="K35" s="356"/>
      <c r="L35" s="357"/>
    </row>
    <row r="36" spans="2:12" s="35" customFormat="1" ht="45.6" customHeight="1" x14ac:dyDescent="0.25">
      <c r="B36" s="46">
        <f>+B32+1</f>
        <v>9</v>
      </c>
      <c r="C36" s="72" t="s">
        <v>407</v>
      </c>
      <c r="D36" s="73" t="s">
        <v>339</v>
      </c>
      <c r="E36" s="55" t="s">
        <v>408</v>
      </c>
      <c r="F36" s="88" t="s">
        <v>97</v>
      </c>
      <c r="G36" s="68">
        <v>65000</v>
      </c>
      <c r="H36" s="43">
        <f>+G36*2.87%</f>
        <v>1865.5</v>
      </c>
      <c r="I36" s="43">
        <f>+G36*3.04%</f>
        <v>1976</v>
      </c>
      <c r="J36" s="68">
        <v>15238.55</v>
      </c>
      <c r="K36" s="69">
        <v>19131.13</v>
      </c>
      <c r="L36" s="84">
        <f>+G36-K36</f>
        <v>45868.869999999995</v>
      </c>
    </row>
    <row r="37" spans="2:12" s="25" customFormat="1" ht="29.25" customHeight="1" x14ac:dyDescent="0.25">
      <c r="B37" s="46">
        <f>+B36+1</f>
        <v>10</v>
      </c>
      <c r="C37" s="54" t="s">
        <v>467</v>
      </c>
      <c r="D37" s="22" t="s">
        <v>338</v>
      </c>
      <c r="E37" s="55" t="s">
        <v>119</v>
      </c>
      <c r="F37" s="60" t="s">
        <v>97</v>
      </c>
      <c r="G37" s="56">
        <v>45000</v>
      </c>
      <c r="H37" s="43">
        <f>+G37*2.87%</f>
        <v>1291.5</v>
      </c>
      <c r="I37" s="43">
        <f>+G37*3.04%</f>
        <v>1368</v>
      </c>
      <c r="J37" s="48">
        <v>7400.9372916666662</v>
      </c>
      <c r="K37" s="53">
        <f>SUM(H37:J37)</f>
        <v>10060.437291666665</v>
      </c>
      <c r="L37" s="44">
        <f>+G37-K37</f>
        <v>34939.562708333338</v>
      </c>
    </row>
    <row r="38" spans="2:12" s="25" customFormat="1" ht="20.100000000000001" customHeight="1" x14ac:dyDescent="0.25">
      <c r="B38" s="352" t="s">
        <v>100</v>
      </c>
      <c r="C38" s="353"/>
      <c r="D38" s="353"/>
      <c r="E38" s="353"/>
      <c r="F38" s="354"/>
      <c r="G38" s="23">
        <f>SUM(G36:G37)</f>
        <v>110000</v>
      </c>
      <c r="H38" s="23">
        <f t="shared" ref="H38:L38" si="7">SUM(H36:H37)</f>
        <v>3157</v>
      </c>
      <c r="I38" s="23">
        <f t="shared" si="7"/>
        <v>3344</v>
      </c>
      <c r="J38" s="23">
        <f t="shared" si="7"/>
        <v>22639.487291666665</v>
      </c>
      <c r="K38" s="23">
        <f t="shared" si="7"/>
        <v>29191.567291666666</v>
      </c>
      <c r="L38" s="23">
        <f t="shared" si="7"/>
        <v>80808.432708333334</v>
      </c>
    </row>
    <row r="39" spans="2:12" ht="20.100000000000001" customHeight="1" thickBot="1" x14ac:dyDescent="0.3">
      <c r="B39" s="30"/>
      <c r="C39" s="28"/>
      <c r="D39" s="30"/>
      <c r="E39" s="29"/>
      <c r="F39" s="87"/>
      <c r="G39" s="25"/>
      <c r="H39" s="25"/>
      <c r="I39" s="25"/>
      <c r="J39" s="25"/>
      <c r="K39" s="25"/>
      <c r="L39" s="24"/>
    </row>
    <row r="40" spans="2:12" ht="28.5" customHeight="1" thickBot="1" x14ac:dyDescent="0.3">
      <c r="B40" s="355" t="s">
        <v>133</v>
      </c>
      <c r="C40" s="356"/>
      <c r="D40" s="356"/>
      <c r="E40" s="356"/>
      <c r="F40" s="356"/>
      <c r="G40" s="356"/>
      <c r="H40" s="356"/>
      <c r="I40" s="356"/>
      <c r="J40" s="356"/>
      <c r="K40" s="356"/>
      <c r="L40" s="357"/>
    </row>
    <row r="41" spans="2:12" ht="30.75" customHeight="1" x14ac:dyDescent="0.25">
      <c r="B41" s="58">
        <f>+B37+1</f>
        <v>11</v>
      </c>
      <c r="C41" s="57" t="s">
        <v>418</v>
      </c>
      <c r="D41" s="58" t="s">
        <v>339</v>
      </c>
      <c r="E41" s="59" t="s">
        <v>157</v>
      </c>
      <c r="F41" s="88" t="s">
        <v>97</v>
      </c>
      <c r="G41" s="43">
        <v>70000</v>
      </c>
      <c r="H41" s="43">
        <f>+G41*2.87%</f>
        <v>2009</v>
      </c>
      <c r="I41" s="43">
        <f>+G41*3.04%</f>
        <v>2128</v>
      </c>
      <c r="J41" s="48">
        <v>16465.75</v>
      </c>
      <c r="K41" s="43">
        <f>SUM(H41:J41)</f>
        <v>20602.75</v>
      </c>
      <c r="L41" s="44">
        <f>+G41-K41</f>
        <v>49397.25</v>
      </c>
    </row>
    <row r="42" spans="2:12" s="25" customFormat="1" ht="20.100000000000001" customHeight="1" x14ac:dyDescent="0.25">
      <c r="B42" s="352" t="s">
        <v>100</v>
      </c>
      <c r="C42" s="353"/>
      <c r="D42" s="353"/>
      <c r="E42" s="353"/>
      <c r="F42" s="354"/>
      <c r="G42" s="23">
        <f>SUM(G41:G41)</f>
        <v>70000</v>
      </c>
      <c r="H42" s="23">
        <f t="shared" ref="H42:L42" si="8">SUM(H41:H41)</f>
        <v>2009</v>
      </c>
      <c r="I42" s="23">
        <f t="shared" si="8"/>
        <v>2128</v>
      </c>
      <c r="J42" s="23">
        <f t="shared" si="8"/>
        <v>16465.75</v>
      </c>
      <c r="K42" s="23">
        <f t="shared" si="8"/>
        <v>20602.75</v>
      </c>
      <c r="L42" s="23">
        <f t="shared" si="8"/>
        <v>49397.25</v>
      </c>
    </row>
    <row r="43" spans="2:12" s="25" customFormat="1" ht="20.100000000000001" customHeight="1" thickBot="1" x14ac:dyDescent="0.3">
      <c r="B43" s="3"/>
      <c r="C43" s="12"/>
      <c r="D43" s="3"/>
      <c r="E43" s="12"/>
      <c r="F43" s="89"/>
      <c r="G43" s="2"/>
      <c r="H43" s="1"/>
      <c r="I43" s="1"/>
      <c r="J43" s="1"/>
      <c r="K43" s="1"/>
      <c r="L43" s="1"/>
    </row>
    <row r="44" spans="2:12" s="52" customFormat="1" ht="20.100000000000001" customHeight="1" thickBot="1" x14ac:dyDescent="0.3">
      <c r="B44" s="355" t="s">
        <v>135</v>
      </c>
      <c r="C44" s="356"/>
      <c r="D44" s="356"/>
      <c r="E44" s="356"/>
      <c r="F44" s="356"/>
      <c r="G44" s="356"/>
      <c r="H44" s="356"/>
      <c r="I44" s="356"/>
      <c r="J44" s="356"/>
      <c r="K44" s="356"/>
      <c r="L44" s="357"/>
    </row>
    <row r="45" spans="2:12" s="25" customFormat="1" ht="27.75" customHeight="1" x14ac:dyDescent="0.25">
      <c r="B45" s="58">
        <f>+B41+1</f>
        <v>12</v>
      </c>
      <c r="C45" s="57" t="s">
        <v>50</v>
      </c>
      <c r="D45" s="58" t="s">
        <v>339</v>
      </c>
      <c r="E45" s="74" t="s">
        <v>158</v>
      </c>
      <c r="F45" s="60" t="s">
        <v>98</v>
      </c>
      <c r="G45" s="53">
        <v>34750</v>
      </c>
      <c r="H45" s="43">
        <v>997.32499999999982</v>
      </c>
      <c r="I45" s="43">
        <v>1056.4000000000001</v>
      </c>
      <c r="J45" s="43">
        <v>8174.0687499999985</v>
      </c>
      <c r="K45" s="43">
        <f>SUM(H45:J45)</f>
        <v>10227.793749999999</v>
      </c>
      <c r="L45" s="44">
        <f>+G45-K45</f>
        <v>24522.206250000003</v>
      </c>
    </row>
    <row r="46" spans="2:12" s="25" customFormat="1" ht="20.100000000000001" customHeight="1" x14ac:dyDescent="0.25">
      <c r="B46" s="352" t="s">
        <v>100</v>
      </c>
      <c r="C46" s="353"/>
      <c r="D46" s="353"/>
      <c r="E46" s="353"/>
      <c r="F46" s="354"/>
      <c r="G46" s="23">
        <f t="shared" ref="G46:L46" si="9">SUM(G45:G45)</f>
        <v>34750</v>
      </c>
      <c r="H46" s="23">
        <f t="shared" si="9"/>
        <v>997.32499999999982</v>
      </c>
      <c r="I46" s="23">
        <f t="shared" si="9"/>
        <v>1056.4000000000001</v>
      </c>
      <c r="J46" s="23">
        <f t="shared" si="9"/>
        <v>8174.0687499999985</v>
      </c>
      <c r="K46" s="23">
        <f t="shared" si="9"/>
        <v>10227.793749999999</v>
      </c>
      <c r="L46" s="23">
        <f t="shared" si="9"/>
        <v>24522.206250000003</v>
      </c>
    </row>
    <row r="47" spans="2:12" s="35" customFormat="1" ht="20.100000000000001" customHeight="1" thickBot="1" x14ac:dyDescent="0.3">
      <c r="B47" s="34"/>
      <c r="C47" s="34"/>
      <c r="D47" s="34"/>
      <c r="E47" s="34"/>
      <c r="F47" s="34"/>
      <c r="G47" s="2"/>
      <c r="H47" s="1"/>
      <c r="I47" s="1"/>
      <c r="J47" s="1"/>
      <c r="K47" s="1"/>
      <c r="L47" s="1"/>
    </row>
    <row r="48" spans="2:12" s="25" customFormat="1" ht="31.5" customHeight="1" thickBot="1" x14ac:dyDescent="0.3">
      <c r="B48" s="349" t="s">
        <v>580</v>
      </c>
      <c r="C48" s="350"/>
      <c r="D48" s="350"/>
      <c r="E48" s="350"/>
      <c r="F48" s="350"/>
      <c r="G48" s="350"/>
      <c r="H48" s="350"/>
      <c r="I48" s="350"/>
      <c r="J48" s="350"/>
      <c r="K48" s="350"/>
      <c r="L48" s="351"/>
    </row>
    <row r="49" spans="2:12" customFormat="1" ht="33" customHeight="1" x14ac:dyDescent="0.25">
      <c r="B49" s="22">
        <f>+B45+1</f>
        <v>13</v>
      </c>
      <c r="C49" s="54" t="s">
        <v>465</v>
      </c>
      <c r="D49" s="22" t="s">
        <v>339</v>
      </c>
      <c r="E49" s="55" t="s">
        <v>581</v>
      </c>
      <c r="F49" s="60" t="s">
        <v>466</v>
      </c>
      <c r="G49" s="56">
        <v>55000</v>
      </c>
      <c r="H49" s="43">
        <f>+G49*2.87%</f>
        <v>1578.5</v>
      </c>
      <c r="I49" s="43">
        <f>+G49*3.04%</f>
        <v>1672</v>
      </c>
      <c r="J49" s="48">
        <v>12937.374999999998</v>
      </c>
      <c r="K49" s="43">
        <f>SUM(H49:J49)</f>
        <v>16187.874999999998</v>
      </c>
      <c r="L49" s="49">
        <f>+G49-K49</f>
        <v>38812.125</v>
      </c>
    </row>
    <row r="50" spans="2:12" customFormat="1" ht="20.100000000000001" customHeight="1" x14ac:dyDescent="0.25">
      <c r="B50" s="352" t="s">
        <v>100</v>
      </c>
      <c r="C50" s="353"/>
      <c r="D50" s="353"/>
      <c r="E50" s="353"/>
      <c r="F50" s="354"/>
      <c r="G50" s="23">
        <f>SUM(G49)</f>
        <v>55000</v>
      </c>
      <c r="H50" s="23">
        <f t="shared" ref="H50:L50" si="10">SUM(H48:H49)</f>
        <v>1578.5</v>
      </c>
      <c r="I50" s="23">
        <f t="shared" si="10"/>
        <v>1672</v>
      </c>
      <c r="J50" s="23">
        <f t="shared" si="10"/>
        <v>12937.374999999998</v>
      </c>
      <c r="K50" s="23">
        <f t="shared" si="10"/>
        <v>16187.874999999998</v>
      </c>
      <c r="L50" s="23">
        <f t="shared" si="10"/>
        <v>38812.125</v>
      </c>
    </row>
    <row r="51" spans="2:12" customFormat="1" ht="20.100000000000001" customHeight="1" thickBot="1" x14ac:dyDescent="0.3">
      <c r="B51" s="34"/>
      <c r="C51" s="34"/>
      <c r="D51" s="34"/>
      <c r="E51" s="34"/>
      <c r="F51" s="34"/>
      <c r="G51" s="2"/>
      <c r="H51" s="1"/>
      <c r="I51" s="1"/>
      <c r="J51" s="1"/>
      <c r="K51" s="1"/>
      <c r="L51" s="1"/>
    </row>
    <row r="52" spans="2:12" customFormat="1" ht="29.25" customHeight="1" thickBot="1" x14ac:dyDescent="0.3">
      <c r="B52" s="355" t="s">
        <v>139</v>
      </c>
      <c r="C52" s="356"/>
      <c r="D52" s="356"/>
      <c r="E52" s="356"/>
      <c r="F52" s="356"/>
      <c r="G52" s="356"/>
      <c r="H52" s="356"/>
      <c r="I52" s="356"/>
      <c r="J52" s="356"/>
      <c r="K52" s="356"/>
      <c r="L52" s="357"/>
    </row>
    <row r="53" spans="2:12" s="25" customFormat="1" ht="33.6" customHeight="1" x14ac:dyDescent="0.25">
      <c r="B53" s="22">
        <f>+B49+1</f>
        <v>14</v>
      </c>
      <c r="C53" s="54" t="s">
        <v>376</v>
      </c>
      <c r="D53" s="22" t="s">
        <v>338</v>
      </c>
      <c r="E53" s="238" t="s">
        <v>377</v>
      </c>
      <c r="F53" s="60" t="s">
        <v>166</v>
      </c>
      <c r="G53" s="48">
        <v>75000</v>
      </c>
      <c r="H53" s="43">
        <f>+G53*2.87%</f>
        <v>2152.5</v>
      </c>
      <c r="I53" s="43">
        <f>+G53*3.04%</f>
        <v>2280</v>
      </c>
      <c r="J53" s="48">
        <v>17641.88</v>
      </c>
      <c r="K53" s="43">
        <f>SUM(H53:J53)</f>
        <v>22074.38</v>
      </c>
      <c r="L53" s="44">
        <f>+G53-K53</f>
        <v>52925.619999999995</v>
      </c>
    </row>
    <row r="54" spans="2:12" s="35" customFormat="1" ht="20.100000000000001" customHeight="1" x14ac:dyDescent="0.25">
      <c r="B54" s="352" t="s">
        <v>100</v>
      </c>
      <c r="C54" s="353"/>
      <c r="D54" s="353"/>
      <c r="E54" s="353"/>
      <c r="F54" s="354"/>
      <c r="G54" s="23">
        <f t="shared" ref="G54:L54" si="11">SUM(G53:G53)</f>
        <v>75000</v>
      </c>
      <c r="H54" s="23">
        <f t="shared" si="11"/>
        <v>2152.5</v>
      </c>
      <c r="I54" s="23">
        <f t="shared" si="11"/>
        <v>2280</v>
      </c>
      <c r="J54" s="23">
        <f t="shared" si="11"/>
        <v>17641.88</v>
      </c>
      <c r="K54" s="23">
        <f t="shared" si="11"/>
        <v>22074.38</v>
      </c>
      <c r="L54" s="23">
        <f t="shared" si="11"/>
        <v>52925.619999999995</v>
      </c>
    </row>
    <row r="55" spans="2:12" s="31" customFormat="1" ht="20.100000000000001" customHeight="1" thickBot="1" x14ac:dyDescent="0.3">
      <c r="B55"/>
      <c r="C55"/>
      <c r="D55" s="61"/>
      <c r="E55"/>
      <c r="F55" s="85"/>
      <c r="G55"/>
      <c r="H55"/>
      <c r="I55"/>
      <c r="J55"/>
      <c r="K55"/>
      <c r="L55"/>
    </row>
    <row r="56" spans="2:12" s="25" customFormat="1" ht="33" customHeight="1" thickBot="1" x14ac:dyDescent="0.3">
      <c r="B56" s="355" t="s">
        <v>140</v>
      </c>
      <c r="C56" s="356"/>
      <c r="D56" s="356"/>
      <c r="E56" s="356"/>
      <c r="F56" s="356"/>
      <c r="G56" s="356"/>
      <c r="H56" s="356"/>
      <c r="I56" s="356"/>
      <c r="J56" s="356"/>
      <c r="K56" s="356"/>
      <c r="L56" s="357"/>
    </row>
    <row r="57" spans="2:12" s="25" customFormat="1" ht="33" customHeight="1" x14ac:dyDescent="0.25">
      <c r="B57" s="22">
        <f>+B53+1</f>
        <v>15</v>
      </c>
      <c r="C57" s="54" t="s">
        <v>164</v>
      </c>
      <c r="D57" s="22" t="s">
        <v>338</v>
      </c>
      <c r="E57" s="55" t="s">
        <v>223</v>
      </c>
      <c r="F57" s="60" t="s">
        <v>98</v>
      </c>
      <c r="G57" s="48">
        <v>75000</v>
      </c>
      <c r="H57" s="43">
        <f>+G57*2.87%</f>
        <v>2152.5</v>
      </c>
      <c r="I57" s="43">
        <f>+G57*3.04%</f>
        <v>2280</v>
      </c>
      <c r="J57" s="48">
        <v>17641.88</v>
      </c>
      <c r="K57" s="43">
        <f>SUM(H57:J57)</f>
        <v>22074.38</v>
      </c>
      <c r="L57" s="44">
        <f>+G57-K57</f>
        <v>52925.619999999995</v>
      </c>
    </row>
    <row r="58" spans="2:12" s="25" customFormat="1" ht="26.25" customHeight="1" x14ac:dyDescent="0.25">
      <c r="B58" s="22">
        <f>+B57+1</f>
        <v>16</v>
      </c>
      <c r="C58" s="54" t="s">
        <v>14</v>
      </c>
      <c r="D58" s="22" t="s">
        <v>339</v>
      </c>
      <c r="E58" s="55" t="s">
        <v>119</v>
      </c>
      <c r="F58" s="60" t="s">
        <v>97</v>
      </c>
      <c r="G58" s="56">
        <v>40000</v>
      </c>
      <c r="H58" s="43">
        <f>+G58*2.87%</f>
        <v>1148</v>
      </c>
      <c r="I58" s="43">
        <f>+G58*3.04%</f>
        <v>1216</v>
      </c>
      <c r="J58" s="48">
        <v>6735.59</v>
      </c>
      <c r="K58" s="53">
        <v>9130.31</v>
      </c>
      <c r="L58" s="44">
        <f>+G58-K58</f>
        <v>30869.690000000002</v>
      </c>
    </row>
    <row r="59" spans="2:12" s="25" customFormat="1" ht="20.100000000000001" customHeight="1" thickBot="1" x14ac:dyDescent="0.3">
      <c r="B59" s="352" t="s">
        <v>100</v>
      </c>
      <c r="C59" s="353"/>
      <c r="D59" s="353"/>
      <c r="E59" s="353"/>
      <c r="F59" s="354"/>
      <c r="G59" s="23">
        <f>SUM(G57:G58)</f>
        <v>115000</v>
      </c>
      <c r="H59" s="23">
        <f>SUM(H57:H58)</f>
        <v>3300.5</v>
      </c>
      <c r="I59" s="23">
        <f>SUM(I57:I58)</f>
        <v>3496</v>
      </c>
      <c r="J59" s="23">
        <f t="shared" ref="J59:L59" si="12">SUM(J57:J58)</f>
        <v>24377.47</v>
      </c>
      <c r="K59" s="23">
        <f t="shared" si="12"/>
        <v>31204.690000000002</v>
      </c>
      <c r="L59" s="23">
        <f t="shared" si="12"/>
        <v>83795.31</v>
      </c>
    </row>
    <row r="60" spans="2:12" s="35" customFormat="1" ht="20.100000000000001" customHeight="1" thickBot="1" x14ac:dyDescent="0.3">
      <c r="B60" s="355" t="s">
        <v>409</v>
      </c>
      <c r="C60" s="356"/>
      <c r="D60" s="356"/>
      <c r="E60" s="356"/>
      <c r="F60" s="356"/>
      <c r="G60" s="356"/>
      <c r="H60" s="356"/>
      <c r="I60" s="356"/>
      <c r="J60" s="356"/>
      <c r="K60" s="356"/>
      <c r="L60" s="357"/>
    </row>
    <row r="61" spans="2:12" s="35" customFormat="1" ht="31.15" customHeight="1" x14ac:dyDescent="0.25">
      <c r="B61" s="22">
        <f>+B58+1</f>
        <v>17</v>
      </c>
      <c r="C61" s="54" t="s">
        <v>80</v>
      </c>
      <c r="D61" s="22" t="s">
        <v>339</v>
      </c>
      <c r="E61" s="55" t="s">
        <v>410</v>
      </c>
      <c r="F61" s="75" t="s">
        <v>166</v>
      </c>
      <c r="G61" s="56">
        <v>65000</v>
      </c>
      <c r="H61" s="43">
        <f>+G61*2.87%</f>
        <v>1865.5</v>
      </c>
      <c r="I61" s="43">
        <f>+G61*3.04%</f>
        <v>1976</v>
      </c>
      <c r="J61" s="48">
        <v>15289.63</v>
      </c>
      <c r="K61" s="43">
        <f>SUM(H61:J61)</f>
        <v>19131.129999999997</v>
      </c>
      <c r="L61" s="44">
        <f>+G61-K61</f>
        <v>45868.87</v>
      </c>
    </row>
    <row r="62" spans="2:12" ht="20.100000000000001" customHeight="1" x14ac:dyDescent="0.25">
      <c r="B62" s="352" t="s">
        <v>100</v>
      </c>
      <c r="C62" s="353"/>
      <c r="D62" s="353"/>
      <c r="E62" s="353"/>
      <c r="F62" s="354"/>
      <c r="G62" s="23">
        <f t="shared" ref="G62:L62" si="13">SUM(G61:G61)</f>
        <v>65000</v>
      </c>
      <c r="H62" s="23">
        <f t="shared" si="13"/>
        <v>1865.5</v>
      </c>
      <c r="I62" s="23">
        <f t="shared" si="13"/>
        <v>1976</v>
      </c>
      <c r="J62" s="23">
        <f t="shared" si="13"/>
        <v>15289.63</v>
      </c>
      <c r="K62" s="23">
        <f t="shared" si="13"/>
        <v>19131.129999999997</v>
      </c>
      <c r="L62" s="23">
        <f t="shared" si="13"/>
        <v>45868.87</v>
      </c>
    </row>
    <row r="63" spans="2:12" ht="20.100000000000001" customHeight="1" thickBot="1" x14ac:dyDescent="0.25"/>
    <row r="64" spans="2:12" s="35" customFormat="1" ht="20.100000000000001" customHeight="1" thickBot="1" x14ac:dyDescent="0.3">
      <c r="B64" s="355" t="s">
        <v>143</v>
      </c>
      <c r="C64" s="356"/>
      <c r="D64" s="356"/>
      <c r="E64" s="356"/>
      <c r="F64" s="356"/>
      <c r="G64" s="356"/>
      <c r="H64" s="356"/>
      <c r="I64" s="356"/>
      <c r="J64" s="356"/>
      <c r="K64" s="356"/>
      <c r="L64" s="357"/>
    </row>
    <row r="65" spans="2:12" s="31" customFormat="1" ht="31.15" customHeight="1" x14ac:dyDescent="0.25">
      <c r="B65" s="42">
        <f>B61+1</f>
        <v>18</v>
      </c>
      <c r="C65" s="57" t="s">
        <v>230</v>
      </c>
      <c r="D65" s="58" t="s">
        <v>338</v>
      </c>
      <c r="E65" s="59" t="s">
        <v>231</v>
      </c>
      <c r="F65" s="60" t="s">
        <v>98</v>
      </c>
      <c r="G65" s="53">
        <v>28500</v>
      </c>
      <c r="H65" s="48">
        <v>817.94999999999982</v>
      </c>
      <c r="I65" s="48">
        <v>866.40000000000009</v>
      </c>
      <c r="J65" s="48">
        <v>6703.91</v>
      </c>
      <c r="K65" s="43">
        <f>SUM(H65:J65)</f>
        <v>8388.26</v>
      </c>
      <c r="L65" s="44">
        <f>+G65-K65</f>
        <v>20111.739999999998</v>
      </c>
    </row>
    <row r="66" spans="2:12" customFormat="1" ht="20.100000000000001" customHeight="1" x14ac:dyDescent="0.25">
      <c r="B66" s="352" t="s">
        <v>100</v>
      </c>
      <c r="C66" s="353"/>
      <c r="D66" s="353"/>
      <c r="E66" s="353"/>
      <c r="F66" s="354"/>
      <c r="G66" s="23">
        <f t="shared" ref="G66:L66" si="14">SUM(G65:G65)</f>
        <v>28500</v>
      </c>
      <c r="H66" s="23">
        <f t="shared" si="14"/>
        <v>817.94999999999982</v>
      </c>
      <c r="I66" s="23">
        <f t="shared" si="14"/>
        <v>866.40000000000009</v>
      </c>
      <c r="J66" s="23">
        <f t="shared" si="14"/>
        <v>6703.91</v>
      </c>
      <c r="K66" s="23">
        <f t="shared" si="14"/>
        <v>8388.26</v>
      </c>
      <c r="L66" s="23">
        <f t="shared" si="14"/>
        <v>20111.739999999998</v>
      </c>
    </row>
    <row r="67" spans="2:12" customFormat="1" ht="20.100000000000001" customHeight="1" thickBot="1" x14ac:dyDescent="0.3">
      <c r="B67" s="34"/>
      <c r="C67" s="34"/>
      <c r="D67" s="34"/>
      <c r="E67" s="34"/>
      <c r="F67" s="93"/>
      <c r="G67" s="26"/>
      <c r="H67" s="26"/>
      <c r="I67" s="26"/>
      <c r="J67" s="26"/>
      <c r="K67" s="26"/>
      <c r="L67" s="26"/>
    </row>
    <row r="68" spans="2:12" s="35" customFormat="1" ht="27" customHeight="1" thickBot="1" x14ac:dyDescent="0.3">
      <c r="B68" s="349" t="s">
        <v>144</v>
      </c>
      <c r="C68" s="350"/>
      <c r="D68" s="350"/>
      <c r="E68" s="350"/>
      <c r="F68" s="350"/>
      <c r="G68" s="350"/>
      <c r="H68" s="350"/>
      <c r="I68" s="350"/>
      <c r="J68" s="350"/>
      <c r="K68" s="350"/>
      <c r="L68" s="351"/>
    </row>
    <row r="69" spans="2:12" s="31" customFormat="1" ht="33" customHeight="1" x14ac:dyDescent="0.25">
      <c r="B69" s="46">
        <f>+B65+1</f>
        <v>19</v>
      </c>
      <c r="C69" s="54" t="s">
        <v>56</v>
      </c>
      <c r="D69" s="22" t="s">
        <v>339</v>
      </c>
      <c r="E69" s="55" t="s">
        <v>169</v>
      </c>
      <c r="F69" s="60" t="s">
        <v>98</v>
      </c>
      <c r="G69" s="56">
        <v>41500</v>
      </c>
      <c r="H69" s="48">
        <v>1191.0500000000002</v>
      </c>
      <c r="I69" s="48">
        <v>1261.5999999999999</v>
      </c>
      <c r="J69" s="48">
        <v>9761.84</v>
      </c>
      <c r="K69" s="43">
        <f>SUM(H69:J69)</f>
        <v>12214.49</v>
      </c>
      <c r="L69" s="49">
        <f>+G69-K69</f>
        <v>29285.510000000002</v>
      </c>
    </row>
    <row r="70" spans="2:12" customFormat="1" ht="20.100000000000001" customHeight="1" x14ac:dyDescent="0.25">
      <c r="B70" s="352" t="s">
        <v>100</v>
      </c>
      <c r="C70" s="353"/>
      <c r="D70" s="353"/>
      <c r="E70" s="353"/>
      <c r="F70" s="354"/>
      <c r="G70" s="23">
        <f>SUM(G69)</f>
        <v>41500</v>
      </c>
      <c r="H70" s="23">
        <f t="shared" ref="H70:L70" si="15">SUM(H68:H69)</f>
        <v>1191.0500000000002</v>
      </c>
      <c r="I70" s="23">
        <f t="shared" si="15"/>
        <v>1261.5999999999999</v>
      </c>
      <c r="J70" s="23">
        <f t="shared" si="15"/>
        <v>9761.84</v>
      </c>
      <c r="K70" s="23">
        <f t="shared" si="15"/>
        <v>12214.49</v>
      </c>
      <c r="L70" s="23">
        <f t="shared" si="15"/>
        <v>29285.510000000002</v>
      </c>
    </row>
    <row r="71" spans="2:12" customFormat="1" ht="20.100000000000001" customHeight="1" thickBot="1" x14ac:dyDescent="0.3">
      <c r="B71" s="34"/>
      <c r="C71" s="34"/>
      <c r="D71" s="34"/>
      <c r="E71" s="34"/>
      <c r="F71" s="93"/>
      <c r="G71" s="51"/>
      <c r="H71" s="51"/>
      <c r="I71" s="51"/>
      <c r="J71" s="51"/>
      <c r="K71" s="51"/>
      <c r="L71" s="51"/>
    </row>
    <row r="72" spans="2:12" s="35" customFormat="1" ht="35.25" customHeight="1" thickBot="1" x14ac:dyDescent="0.3">
      <c r="B72" s="349" t="s">
        <v>70</v>
      </c>
      <c r="C72" s="350"/>
      <c r="D72" s="350"/>
      <c r="E72" s="350"/>
      <c r="F72" s="350"/>
      <c r="G72" s="350"/>
      <c r="H72" s="350"/>
      <c r="I72" s="350"/>
      <c r="J72" s="350"/>
      <c r="K72" s="350"/>
      <c r="L72" s="351"/>
    </row>
    <row r="73" spans="2:12" s="35" customFormat="1" ht="31.5" customHeight="1" x14ac:dyDescent="0.25">
      <c r="B73" s="22">
        <f>+B69+1</f>
        <v>20</v>
      </c>
      <c r="C73" s="54" t="s">
        <v>9</v>
      </c>
      <c r="D73" s="22" t="s">
        <v>339</v>
      </c>
      <c r="E73" s="55" t="s">
        <v>400</v>
      </c>
      <c r="F73" s="60" t="s">
        <v>166</v>
      </c>
      <c r="G73" s="56">
        <v>5000</v>
      </c>
      <c r="H73" s="48">
        <f>+G73*2.87%</f>
        <v>143.5</v>
      </c>
      <c r="I73" s="48">
        <f>+G73*3.04%</f>
        <v>152</v>
      </c>
      <c r="J73" s="48">
        <v>1176.1300000000001</v>
      </c>
      <c r="K73" s="43">
        <f>SUM(H73:J73)</f>
        <v>1471.63</v>
      </c>
      <c r="L73" s="44">
        <f>+G73-K73</f>
        <v>3528.37</v>
      </c>
    </row>
    <row r="74" spans="2:12" s="35" customFormat="1" ht="20.100000000000001" customHeight="1" x14ac:dyDescent="0.25">
      <c r="B74" s="352" t="s">
        <v>100</v>
      </c>
      <c r="C74" s="353"/>
      <c r="D74" s="353"/>
      <c r="E74" s="353"/>
      <c r="F74" s="354"/>
      <c r="G74" s="23">
        <f t="shared" ref="G74:L74" si="16">SUM(G73:G73)</f>
        <v>5000</v>
      </c>
      <c r="H74" s="23">
        <f t="shared" si="16"/>
        <v>143.5</v>
      </c>
      <c r="I74" s="23">
        <f t="shared" si="16"/>
        <v>152</v>
      </c>
      <c r="J74" s="23">
        <f t="shared" si="16"/>
        <v>1176.1300000000001</v>
      </c>
      <c r="K74" s="23">
        <f t="shared" si="16"/>
        <v>1471.63</v>
      </c>
      <c r="L74" s="23">
        <f t="shared" si="16"/>
        <v>3528.37</v>
      </c>
    </row>
    <row r="75" spans="2:12" s="25" customFormat="1" ht="20.100000000000001" customHeight="1" thickBot="1" x14ac:dyDescent="0.3">
      <c r="B75" s="34"/>
      <c r="C75" s="34"/>
      <c r="D75" s="34"/>
      <c r="E75" s="34"/>
      <c r="F75" s="93"/>
      <c r="G75" s="26"/>
      <c r="H75" s="26"/>
      <c r="I75" s="26"/>
      <c r="J75" s="26"/>
      <c r="K75" s="26"/>
      <c r="L75" s="26"/>
    </row>
    <row r="76" spans="2:12" s="25" customFormat="1" ht="37.5" customHeight="1" thickBot="1" x14ac:dyDescent="0.3">
      <c r="B76" s="355" t="s">
        <v>411</v>
      </c>
      <c r="C76" s="356"/>
      <c r="D76" s="356"/>
      <c r="E76" s="356"/>
      <c r="F76" s="356"/>
      <c r="G76" s="356"/>
      <c r="H76" s="356"/>
      <c r="I76" s="356"/>
      <c r="J76" s="356"/>
      <c r="K76" s="356"/>
      <c r="L76" s="357"/>
    </row>
    <row r="77" spans="2:12" s="25" customFormat="1" ht="29.25" customHeight="1" x14ac:dyDescent="0.25">
      <c r="B77" s="22">
        <f>B73+1</f>
        <v>21</v>
      </c>
      <c r="C77" s="54" t="s">
        <v>412</v>
      </c>
      <c r="D77" s="22" t="s">
        <v>339</v>
      </c>
      <c r="E77" s="55" t="s">
        <v>413</v>
      </c>
      <c r="F77" s="60" t="s">
        <v>166</v>
      </c>
      <c r="G77" s="48">
        <v>95000</v>
      </c>
      <c r="H77" s="43">
        <f>+G77*2.87%</f>
        <v>2726.5</v>
      </c>
      <c r="I77" s="43">
        <f>+G77*3.04%</f>
        <v>2888</v>
      </c>
      <c r="J77" s="76">
        <v>22346.38</v>
      </c>
      <c r="K77" s="43">
        <f>SUM(H77:J77)</f>
        <v>27960.880000000001</v>
      </c>
      <c r="L77" s="44">
        <f>+G77-K77</f>
        <v>67039.12</v>
      </c>
    </row>
    <row r="78" spans="2:12" s="25" customFormat="1" ht="20.100000000000001" customHeight="1" x14ac:dyDescent="0.25">
      <c r="B78" s="46">
        <f>+B77+1</f>
        <v>22</v>
      </c>
      <c r="C78" s="47" t="s">
        <v>427</v>
      </c>
      <c r="D78" s="46" t="s">
        <v>339</v>
      </c>
      <c r="E78" s="50" t="s">
        <v>428</v>
      </c>
      <c r="F78" s="75" t="s">
        <v>98</v>
      </c>
      <c r="G78" s="48">
        <v>30000</v>
      </c>
      <c r="H78" s="43">
        <f>+G78*2.87%</f>
        <v>861</v>
      </c>
      <c r="I78" s="43">
        <f>+G78*3.04%</f>
        <v>912</v>
      </c>
      <c r="J78" s="76">
        <v>5324.24</v>
      </c>
      <c r="K78" s="43">
        <v>7127.96</v>
      </c>
      <c r="L78" s="44">
        <f>+G78-K78</f>
        <v>22872.04</v>
      </c>
    </row>
    <row r="79" spans="2:12" s="25" customFormat="1" ht="20.100000000000001" customHeight="1" x14ac:dyDescent="0.25">
      <c r="B79" s="352" t="s">
        <v>100</v>
      </c>
      <c r="C79" s="353"/>
      <c r="D79" s="353"/>
      <c r="E79" s="353"/>
      <c r="F79" s="354"/>
      <c r="G79" s="23">
        <f>SUM(G77:G78)</f>
        <v>125000</v>
      </c>
      <c r="H79" s="23">
        <f t="shared" ref="H79:L79" si="17">SUM(H77:H78)</f>
        <v>3587.5</v>
      </c>
      <c r="I79" s="23">
        <f t="shared" si="17"/>
        <v>3800</v>
      </c>
      <c r="J79" s="23">
        <f t="shared" si="17"/>
        <v>27670.620000000003</v>
      </c>
      <c r="K79" s="23">
        <f t="shared" si="17"/>
        <v>35088.840000000004</v>
      </c>
      <c r="L79" s="23">
        <f t="shared" si="17"/>
        <v>89911.16</v>
      </c>
    </row>
    <row r="80" spans="2:12" s="25" customFormat="1" ht="20.100000000000001" customHeight="1" thickBot="1" x14ac:dyDescent="0.3">
      <c r="B80" s="34"/>
      <c r="C80" s="34"/>
      <c r="D80" s="34"/>
      <c r="E80" s="34"/>
      <c r="F80" s="93"/>
      <c r="G80" s="26"/>
      <c r="H80" s="26"/>
      <c r="I80" s="26"/>
      <c r="J80" s="26"/>
      <c r="K80" s="26"/>
      <c r="L80" s="26"/>
    </row>
    <row r="81" spans="2:12" s="25" customFormat="1" ht="33.75" customHeight="1" thickBot="1" x14ac:dyDescent="0.3">
      <c r="B81" s="355" t="s">
        <v>71</v>
      </c>
      <c r="C81" s="356"/>
      <c r="D81" s="356"/>
      <c r="E81" s="356"/>
      <c r="F81" s="356"/>
      <c r="G81" s="356"/>
      <c r="H81" s="356"/>
      <c r="I81" s="356"/>
      <c r="J81" s="356"/>
      <c r="K81" s="356"/>
      <c r="L81" s="357"/>
    </row>
    <row r="82" spans="2:12" s="25" customFormat="1" ht="30.75" customHeight="1" x14ac:dyDescent="0.25">
      <c r="B82" s="22">
        <f>+B78+1</f>
        <v>23</v>
      </c>
      <c r="C82" s="54" t="s">
        <v>380</v>
      </c>
      <c r="D82" s="22" t="s">
        <v>339</v>
      </c>
      <c r="E82" s="55" t="s">
        <v>381</v>
      </c>
      <c r="F82" s="60" t="s">
        <v>166</v>
      </c>
      <c r="G82" s="48">
        <v>100000</v>
      </c>
      <c r="H82" s="43">
        <f>+G82*2.87%</f>
        <v>2870</v>
      </c>
      <c r="I82" s="43">
        <f>+G82*3.04%</f>
        <v>3040</v>
      </c>
      <c r="J82" s="70">
        <v>23522.5</v>
      </c>
      <c r="K82" s="43">
        <f>SUM(H82:J82)</f>
        <v>29432.5</v>
      </c>
      <c r="L82" s="44">
        <f>+G82-K82</f>
        <v>70567.5</v>
      </c>
    </row>
    <row r="83" spans="2:12" s="25" customFormat="1" ht="30" customHeight="1" x14ac:dyDescent="0.25">
      <c r="B83" s="22">
        <f>+B82+1</f>
        <v>24</v>
      </c>
      <c r="C83" s="54" t="s">
        <v>112</v>
      </c>
      <c r="D83" s="22" t="s">
        <v>339</v>
      </c>
      <c r="E83" s="55" t="s">
        <v>429</v>
      </c>
      <c r="F83" s="60" t="s">
        <v>97</v>
      </c>
      <c r="G83" s="56">
        <v>35000</v>
      </c>
      <c r="H83" s="43">
        <f>+G83*2.87%</f>
        <v>1004.5</v>
      </c>
      <c r="I83" s="43">
        <f>+G83*3.04%</f>
        <v>1064</v>
      </c>
      <c r="J83" s="70">
        <v>6252.61</v>
      </c>
      <c r="K83" s="53">
        <f>SUM(H83:J83)</f>
        <v>8321.11</v>
      </c>
      <c r="L83" s="44">
        <f>+G83-K83</f>
        <v>26678.89</v>
      </c>
    </row>
    <row r="84" spans="2:12" s="25" customFormat="1" ht="20.100000000000001" customHeight="1" x14ac:dyDescent="0.25">
      <c r="B84" s="22" t="s">
        <v>100</v>
      </c>
      <c r="C84" s="54"/>
      <c r="D84" s="22"/>
      <c r="E84" s="55"/>
      <c r="F84" s="60"/>
      <c r="G84" s="23">
        <f t="shared" ref="G84:L84" si="18">SUM(G82:G83)</f>
        <v>135000</v>
      </c>
      <c r="H84" s="23">
        <f t="shared" si="18"/>
        <v>3874.5</v>
      </c>
      <c r="I84" s="23">
        <f t="shared" si="18"/>
        <v>4104</v>
      </c>
      <c r="J84" s="23">
        <f t="shared" si="18"/>
        <v>29775.11</v>
      </c>
      <c r="K84" s="23">
        <f t="shared" si="18"/>
        <v>37753.61</v>
      </c>
      <c r="L84" s="23">
        <f t="shared" si="18"/>
        <v>97246.39</v>
      </c>
    </row>
    <row r="85" spans="2:12" s="25" customFormat="1" ht="20.100000000000001" customHeight="1" thickBot="1" x14ac:dyDescent="0.3">
      <c r="B85" s="34"/>
      <c r="C85" s="34"/>
      <c r="D85" s="34"/>
      <c r="E85" s="34"/>
      <c r="F85" s="93"/>
      <c r="G85" s="26"/>
      <c r="H85" s="26"/>
      <c r="I85" s="26"/>
      <c r="J85" s="26"/>
      <c r="K85" s="26"/>
      <c r="L85" s="26"/>
    </row>
    <row r="86" spans="2:12" s="25" customFormat="1" ht="33" customHeight="1" thickBot="1" x14ac:dyDescent="0.3">
      <c r="B86" s="366" t="s">
        <v>386</v>
      </c>
      <c r="C86" s="367"/>
      <c r="D86" s="367"/>
      <c r="E86" s="367"/>
      <c r="F86" s="367"/>
      <c r="G86" s="367"/>
      <c r="H86" s="367"/>
      <c r="I86" s="367"/>
      <c r="J86" s="367"/>
      <c r="K86" s="367"/>
      <c r="L86" s="368"/>
    </row>
    <row r="87" spans="2:12" s="25" customFormat="1" ht="33.75" customHeight="1" x14ac:dyDescent="0.25">
      <c r="B87" s="22">
        <f>+B83+1</f>
        <v>25</v>
      </c>
      <c r="C87" s="54" t="s">
        <v>385</v>
      </c>
      <c r="D87" s="22" t="s">
        <v>339</v>
      </c>
      <c r="E87" s="55" t="s">
        <v>540</v>
      </c>
      <c r="F87" s="60" t="s">
        <v>166</v>
      </c>
      <c r="G87" s="56">
        <v>45000</v>
      </c>
      <c r="H87" s="48">
        <f>+G87*2.87%</f>
        <v>1291.5</v>
      </c>
      <c r="I87" s="48">
        <f>+G87*3.04%</f>
        <v>1368</v>
      </c>
      <c r="J87" s="48">
        <v>8604.86</v>
      </c>
      <c r="K87" s="43">
        <f>SUM(H87:J87)</f>
        <v>11264.36</v>
      </c>
      <c r="L87" s="43">
        <f>+G87-K87</f>
        <v>33735.64</v>
      </c>
    </row>
    <row r="88" spans="2:12" s="25" customFormat="1" ht="20.100000000000001" customHeight="1" x14ac:dyDescent="0.25">
      <c r="B88" s="352" t="s">
        <v>100</v>
      </c>
      <c r="C88" s="353"/>
      <c r="D88" s="353"/>
      <c r="E88" s="353"/>
      <c r="F88" s="354"/>
      <c r="G88" s="23">
        <f t="shared" ref="G88:L88" si="19">SUM(G87:G87)</f>
        <v>45000</v>
      </c>
      <c r="H88" s="23">
        <f t="shared" si="19"/>
        <v>1291.5</v>
      </c>
      <c r="I88" s="23">
        <f t="shared" si="19"/>
        <v>1368</v>
      </c>
      <c r="J88" s="23">
        <f t="shared" si="19"/>
        <v>8604.86</v>
      </c>
      <c r="K88" s="23">
        <f t="shared" si="19"/>
        <v>11264.36</v>
      </c>
      <c r="L88" s="23">
        <f t="shared" si="19"/>
        <v>33735.64</v>
      </c>
    </row>
    <row r="89" spans="2:12" s="25" customFormat="1" ht="20.100000000000001" customHeight="1" thickBot="1" x14ac:dyDescent="0.3">
      <c r="B89" s="34"/>
      <c r="C89" s="34"/>
      <c r="D89" s="34"/>
      <c r="E89" s="34"/>
      <c r="F89" s="93"/>
      <c r="G89"/>
      <c r="H89"/>
      <c r="I89"/>
      <c r="J89"/>
      <c r="K89"/>
      <c r="L89"/>
    </row>
    <row r="90" spans="2:12" s="25" customFormat="1" ht="20.100000000000001" customHeight="1" thickBot="1" x14ac:dyDescent="0.3">
      <c r="B90" s="363" t="s">
        <v>250</v>
      </c>
      <c r="C90" s="364"/>
      <c r="D90" s="364"/>
      <c r="E90" s="364"/>
      <c r="F90" s="364"/>
      <c r="G90" s="364"/>
      <c r="H90" s="364"/>
      <c r="I90" s="364"/>
      <c r="J90" s="364"/>
      <c r="K90" s="364"/>
      <c r="L90" s="365"/>
    </row>
    <row r="91" spans="2:12" s="35" customFormat="1" ht="31.5" customHeight="1" thickBot="1" x14ac:dyDescent="0.3">
      <c r="B91" s="34"/>
      <c r="C91" s="34"/>
      <c r="D91" s="34"/>
      <c r="E91" s="34"/>
      <c r="F91" s="93"/>
      <c r="G91"/>
      <c r="H91"/>
      <c r="I91"/>
      <c r="J91"/>
      <c r="K91"/>
      <c r="L91"/>
    </row>
    <row r="92" spans="2:12" s="52" customFormat="1" ht="20.100000000000001" customHeight="1" thickBot="1" x14ac:dyDescent="0.3">
      <c r="B92" s="363" t="s">
        <v>549</v>
      </c>
      <c r="C92" s="364"/>
      <c r="D92" s="364"/>
      <c r="E92" s="364"/>
      <c r="F92" s="364"/>
      <c r="G92" s="364"/>
      <c r="H92" s="364"/>
      <c r="I92" s="364"/>
      <c r="J92" s="364"/>
      <c r="K92" s="364"/>
      <c r="L92" s="365"/>
    </row>
    <row r="93" spans="2:12" s="25" customFormat="1" ht="36.75" customHeight="1" x14ac:dyDescent="0.25">
      <c r="B93" s="46">
        <f>+B87+1</f>
        <v>26</v>
      </c>
      <c r="C93" s="47" t="s">
        <v>60</v>
      </c>
      <c r="D93" s="46" t="s">
        <v>339</v>
      </c>
      <c r="E93" s="295" t="s">
        <v>548</v>
      </c>
      <c r="F93" s="75" t="s">
        <v>97</v>
      </c>
      <c r="G93" s="48">
        <v>55000</v>
      </c>
      <c r="H93" s="43">
        <f>+G93*2.87%</f>
        <v>1578.5</v>
      </c>
      <c r="I93" s="43">
        <f>+G93*3.04%</f>
        <v>1672</v>
      </c>
      <c r="J93" s="48">
        <v>12886.3</v>
      </c>
      <c r="K93" s="53">
        <v>16187.88</v>
      </c>
      <c r="L93" s="44">
        <f>+G93-K93</f>
        <v>38812.120000000003</v>
      </c>
    </row>
    <row r="94" spans="2:12" s="25" customFormat="1" ht="20.100000000000001" customHeight="1" x14ac:dyDescent="0.25">
      <c r="B94" s="352" t="s">
        <v>100</v>
      </c>
      <c r="C94" s="353"/>
      <c r="D94" s="353"/>
      <c r="E94" s="353"/>
      <c r="F94" s="354"/>
      <c r="G94" s="23">
        <f>+G93</f>
        <v>55000</v>
      </c>
      <c r="H94" s="23">
        <f t="shared" ref="H94:L94" si="20">+H93</f>
        <v>1578.5</v>
      </c>
      <c r="I94" s="23">
        <f t="shared" si="20"/>
        <v>1672</v>
      </c>
      <c r="J94" s="23">
        <f t="shared" si="20"/>
        <v>12886.3</v>
      </c>
      <c r="K94" s="23">
        <f t="shared" si="20"/>
        <v>16187.88</v>
      </c>
      <c r="L94" s="23">
        <f t="shared" si="20"/>
        <v>38812.120000000003</v>
      </c>
    </row>
    <row r="95" spans="2:12" s="25" customFormat="1" ht="20.100000000000001" customHeight="1" thickBot="1" x14ac:dyDescent="0.3">
      <c r="B95" s="34"/>
      <c r="C95" s="34"/>
      <c r="D95" s="34"/>
      <c r="E95" s="34"/>
      <c r="F95" s="93"/>
      <c r="G95"/>
      <c r="H95"/>
      <c r="I95"/>
      <c r="J95"/>
      <c r="K95"/>
      <c r="L95"/>
    </row>
    <row r="96" spans="2:12" s="25" customFormat="1" ht="20.100000000000001" customHeight="1" thickBot="1" x14ac:dyDescent="0.3">
      <c r="B96" s="363" t="s">
        <v>253</v>
      </c>
      <c r="C96" s="364"/>
      <c r="D96" s="364"/>
      <c r="E96" s="364"/>
      <c r="F96" s="364"/>
      <c r="G96" s="364"/>
      <c r="H96" s="364"/>
      <c r="I96" s="364"/>
      <c r="J96" s="364"/>
      <c r="K96" s="364"/>
      <c r="L96" s="365"/>
    </row>
    <row r="97" spans="2:12" s="25" customFormat="1" ht="28.5" customHeight="1" x14ac:dyDescent="0.25">
      <c r="B97" s="46">
        <f>+B93+1</f>
        <v>27</v>
      </c>
      <c r="C97" s="47" t="s">
        <v>485</v>
      </c>
      <c r="D97" s="46" t="s">
        <v>339</v>
      </c>
      <c r="E97" s="295" t="s">
        <v>495</v>
      </c>
      <c r="F97" s="75" t="s">
        <v>98</v>
      </c>
      <c r="G97" s="48">
        <v>45000</v>
      </c>
      <c r="H97" s="43">
        <f>+G97*2.87%</f>
        <v>1291.5</v>
      </c>
      <c r="I97" s="43">
        <f>+G97*3.04%</f>
        <v>1368</v>
      </c>
      <c r="J97" s="43">
        <v>10585.13</v>
      </c>
      <c r="K97" s="43">
        <f>SUM(H97:J97)</f>
        <v>13244.63</v>
      </c>
      <c r="L97" s="44">
        <f>+G97-K97</f>
        <v>31755.370000000003</v>
      </c>
    </row>
    <row r="98" spans="2:12" s="25" customFormat="1" ht="20.100000000000001" customHeight="1" x14ac:dyDescent="0.25">
      <c r="B98" s="352" t="s">
        <v>100</v>
      </c>
      <c r="C98" s="353"/>
      <c r="D98" s="353"/>
      <c r="E98" s="353"/>
      <c r="F98" s="354"/>
      <c r="G98" s="23">
        <f>SUM(G97:G97)</f>
        <v>45000</v>
      </c>
      <c r="H98" s="23">
        <f t="shared" ref="H98:L98" si="21">SUM(H97:H97)</f>
        <v>1291.5</v>
      </c>
      <c r="I98" s="23">
        <f t="shared" si="21"/>
        <v>1368</v>
      </c>
      <c r="J98" s="23">
        <f t="shared" si="21"/>
        <v>10585.13</v>
      </c>
      <c r="K98" s="23">
        <f t="shared" si="21"/>
        <v>13244.63</v>
      </c>
      <c r="L98" s="23">
        <f t="shared" si="21"/>
        <v>31755.370000000003</v>
      </c>
    </row>
    <row r="99" spans="2:12" s="45" customFormat="1" ht="20.100000000000001" customHeight="1" thickBot="1" x14ac:dyDescent="0.3">
      <c r="B99" s="34"/>
      <c r="C99" s="34"/>
      <c r="D99" s="34"/>
      <c r="E99" s="34"/>
      <c r="F99" s="93"/>
      <c r="G99"/>
      <c r="H99"/>
      <c r="I99"/>
      <c r="J99"/>
      <c r="K99"/>
      <c r="L99"/>
    </row>
    <row r="100" spans="2:12" s="45" customFormat="1" ht="20.100000000000001" customHeight="1" thickBot="1" x14ac:dyDescent="0.3">
      <c r="B100" s="363" t="s">
        <v>147</v>
      </c>
      <c r="C100" s="364"/>
      <c r="D100" s="364"/>
      <c r="E100" s="364"/>
      <c r="F100" s="364"/>
      <c r="G100" s="364"/>
      <c r="H100" s="364"/>
      <c r="I100" s="364"/>
      <c r="J100" s="364"/>
      <c r="K100" s="364"/>
      <c r="L100" s="365"/>
    </row>
    <row r="101" spans="2:12" s="25" customFormat="1" ht="27.75" customHeight="1" x14ac:dyDescent="0.25">
      <c r="B101" s="22">
        <f>+B97+1</f>
        <v>28</v>
      </c>
      <c r="C101" s="54" t="s">
        <v>378</v>
      </c>
      <c r="D101" s="22" t="s">
        <v>338</v>
      </c>
      <c r="E101" s="60" t="s">
        <v>379</v>
      </c>
      <c r="F101" s="60" t="s">
        <v>166</v>
      </c>
      <c r="G101" s="48">
        <v>90000</v>
      </c>
      <c r="H101" s="43">
        <f>+G101*2.87%</f>
        <v>2583</v>
      </c>
      <c r="I101" s="43">
        <f>+G101*3.04%</f>
        <v>2736</v>
      </c>
      <c r="J101" s="43">
        <v>20380.04</v>
      </c>
      <c r="K101" s="43">
        <f>SUM(H101:J101)</f>
        <v>25699.040000000001</v>
      </c>
      <c r="L101" s="44">
        <f>+G101-K101</f>
        <v>64300.959999999999</v>
      </c>
    </row>
    <row r="102" spans="2:12" s="25" customFormat="1" ht="20.100000000000001" customHeight="1" x14ac:dyDescent="0.25">
      <c r="B102" s="352" t="s">
        <v>100</v>
      </c>
      <c r="C102" s="353"/>
      <c r="D102" s="353"/>
      <c r="E102" s="353"/>
      <c r="F102" s="354"/>
      <c r="G102" s="23">
        <f t="shared" ref="G102:L102" si="22">SUM(G101:G101)</f>
        <v>90000</v>
      </c>
      <c r="H102" s="23">
        <f t="shared" si="22"/>
        <v>2583</v>
      </c>
      <c r="I102" s="23">
        <f t="shared" si="22"/>
        <v>2736</v>
      </c>
      <c r="J102" s="23">
        <f t="shared" si="22"/>
        <v>20380.04</v>
      </c>
      <c r="K102" s="23">
        <f t="shared" si="22"/>
        <v>25699.040000000001</v>
      </c>
      <c r="L102" s="23">
        <f t="shared" si="22"/>
        <v>64300.959999999999</v>
      </c>
    </row>
    <row r="103" spans="2:12" s="45" customFormat="1" ht="20.100000000000001" customHeight="1" thickBot="1" x14ac:dyDescent="0.3">
      <c r="B103" s="34"/>
      <c r="C103" s="34"/>
      <c r="D103" s="34"/>
      <c r="E103" s="34"/>
      <c r="F103" s="93"/>
      <c r="G103" s="26"/>
      <c r="H103" s="26"/>
      <c r="I103" s="26"/>
      <c r="J103" s="26"/>
      <c r="K103" s="26"/>
      <c r="L103" s="26"/>
    </row>
    <row r="104" spans="2:12" s="45" customFormat="1" ht="20.100000000000001" customHeight="1" thickBot="1" x14ac:dyDescent="0.3">
      <c r="B104" s="349" t="s">
        <v>261</v>
      </c>
      <c r="C104" s="350"/>
      <c r="D104" s="350"/>
      <c r="E104" s="350"/>
      <c r="F104" s="350"/>
      <c r="G104" s="350"/>
      <c r="H104" s="350"/>
      <c r="I104" s="350"/>
      <c r="J104" s="350"/>
      <c r="K104" s="350"/>
      <c r="L104" s="351"/>
    </row>
    <row r="105" spans="2:12" s="25" customFormat="1" ht="33" customHeight="1" x14ac:dyDescent="0.25">
      <c r="B105" s="46">
        <f>+B101+1</f>
        <v>29</v>
      </c>
      <c r="C105" s="54" t="s">
        <v>121</v>
      </c>
      <c r="D105" s="22" t="s">
        <v>338</v>
      </c>
      <c r="E105" s="54" t="s">
        <v>342</v>
      </c>
      <c r="F105" s="60" t="s">
        <v>97</v>
      </c>
      <c r="G105" s="48">
        <v>35000</v>
      </c>
      <c r="H105" s="43">
        <f>+G105*2.87%</f>
        <v>1004.5</v>
      </c>
      <c r="I105" s="43">
        <f>+G105*3.04%</f>
        <v>1064</v>
      </c>
      <c r="J105" s="48">
        <v>5368.4498333333331</v>
      </c>
      <c r="K105" s="53">
        <f>SUM(H105:J105)</f>
        <v>7436.9498333333331</v>
      </c>
      <c r="L105" s="44">
        <f>+G105-K105</f>
        <v>27563.050166666668</v>
      </c>
    </row>
    <row r="106" spans="2:12" s="25" customFormat="1" ht="20.100000000000001" customHeight="1" x14ac:dyDescent="0.25">
      <c r="B106" s="352" t="s">
        <v>100</v>
      </c>
      <c r="C106" s="353"/>
      <c r="D106" s="353"/>
      <c r="E106" s="353"/>
      <c r="F106" s="354"/>
      <c r="G106" s="23">
        <f t="shared" ref="G106:L106" si="23">SUM(G105:G105)</f>
        <v>35000</v>
      </c>
      <c r="H106" s="23">
        <f t="shared" si="23"/>
        <v>1004.5</v>
      </c>
      <c r="I106" s="23">
        <f t="shared" si="23"/>
        <v>1064</v>
      </c>
      <c r="J106" s="23">
        <f t="shared" si="23"/>
        <v>5368.4498333333331</v>
      </c>
      <c r="K106" s="23">
        <f t="shared" si="23"/>
        <v>7436.9498333333331</v>
      </c>
      <c r="L106" s="23">
        <f t="shared" si="23"/>
        <v>27563.050166666668</v>
      </c>
    </row>
    <row r="107" spans="2:12" s="25" customFormat="1" ht="20.100000000000001" customHeight="1" thickBot="1" x14ac:dyDescent="0.3">
      <c r="B107" s="34"/>
      <c r="C107" s="34"/>
      <c r="D107" s="34"/>
      <c r="E107" s="34"/>
      <c r="F107" s="93"/>
      <c r="G107" s="26"/>
      <c r="H107" s="26"/>
      <c r="I107" s="26"/>
      <c r="J107" s="26"/>
      <c r="K107" s="26"/>
      <c r="L107" s="26"/>
    </row>
    <row r="108" spans="2:12" s="25" customFormat="1" ht="20.100000000000001" customHeight="1" thickBot="1" x14ac:dyDescent="0.3">
      <c r="B108" s="349" t="s">
        <v>12</v>
      </c>
      <c r="C108" s="350"/>
      <c r="D108" s="350"/>
      <c r="E108" s="350"/>
      <c r="F108" s="350"/>
      <c r="G108" s="350"/>
      <c r="H108" s="350"/>
      <c r="I108" s="350"/>
      <c r="J108" s="350"/>
      <c r="K108" s="350"/>
      <c r="L108" s="351"/>
    </row>
    <row r="109" spans="2:12" s="25" customFormat="1" ht="20.100000000000001" customHeight="1" x14ac:dyDescent="0.25">
      <c r="B109" s="46">
        <f>+B105+1</f>
        <v>30</v>
      </c>
      <c r="C109" s="54" t="s">
        <v>622</v>
      </c>
      <c r="D109" s="22" t="s">
        <v>339</v>
      </c>
      <c r="E109" s="54" t="s">
        <v>623</v>
      </c>
      <c r="F109" s="60" t="s">
        <v>97</v>
      </c>
      <c r="G109" s="48">
        <v>8500</v>
      </c>
      <c r="H109" s="43">
        <f>+G109*2.87%</f>
        <v>243.95</v>
      </c>
      <c r="I109" s="43">
        <f>+G109*3.04%</f>
        <v>258.39999999999998</v>
      </c>
      <c r="J109" s="48">
        <v>1199.6500000000001</v>
      </c>
      <c r="K109" s="53">
        <f>SUM(H109:J109)</f>
        <v>1702</v>
      </c>
      <c r="L109" s="44">
        <f>+G109-K109</f>
        <v>6798</v>
      </c>
    </row>
    <row r="110" spans="2:12" s="25" customFormat="1" ht="20.100000000000001" customHeight="1" x14ac:dyDescent="0.25">
      <c r="B110" s="352" t="s">
        <v>100</v>
      </c>
      <c r="C110" s="353"/>
      <c r="D110" s="353"/>
      <c r="E110" s="353"/>
      <c r="F110" s="354"/>
      <c r="G110" s="23">
        <f t="shared" ref="G110:L110" si="24">SUM(G109:G109)</f>
        <v>8500</v>
      </c>
      <c r="H110" s="23">
        <f t="shared" si="24"/>
        <v>243.95</v>
      </c>
      <c r="I110" s="23">
        <f t="shared" si="24"/>
        <v>258.39999999999998</v>
      </c>
      <c r="J110" s="23">
        <f t="shared" si="24"/>
        <v>1199.6500000000001</v>
      </c>
      <c r="K110" s="23">
        <f t="shared" si="24"/>
        <v>1702</v>
      </c>
      <c r="L110" s="23">
        <f t="shared" si="24"/>
        <v>6798</v>
      </c>
    </row>
    <row r="111" spans="2:12" s="25" customFormat="1" ht="20.100000000000001" customHeight="1" x14ac:dyDescent="0.25">
      <c r="B111" s="34"/>
      <c r="C111" s="34"/>
      <c r="D111" s="34"/>
      <c r="E111" s="34"/>
      <c r="F111" s="93"/>
      <c r="G111" s="26"/>
      <c r="H111" s="26"/>
      <c r="I111" s="26"/>
      <c r="J111" s="26"/>
      <c r="K111" s="26"/>
      <c r="L111" s="26"/>
    </row>
    <row r="112" spans="2:12" s="25" customFormat="1" ht="20.100000000000001" customHeight="1" thickBot="1" x14ac:dyDescent="0.3">
      <c r="B112" s="34"/>
      <c r="C112" s="34"/>
      <c r="D112" s="34"/>
      <c r="E112" s="34"/>
      <c r="F112" s="93"/>
      <c r="G112" s="26"/>
      <c r="H112" s="26"/>
      <c r="I112" s="26"/>
      <c r="J112" s="26"/>
      <c r="K112" s="26"/>
      <c r="L112" s="26"/>
    </row>
    <row r="113" spans="2:12" s="25" customFormat="1" ht="20.100000000000001" customHeight="1" thickBot="1" x14ac:dyDescent="0.3">
      <c r="B113" s="349" t="s">
        <v>175</v>
      </c>
      <c r="C113" s="350"/>
      <c r="D113" s="350"/>
      <c r="E113" s="350"/>
      <c r="F113" s="350"/>
      <c r="G113" s="350"/>
      <c r="H113" s="350"/>
      <c r="I113" s="350"/>
      <c r="J113" s="350"/>
      <c r="K113" s="350"/>
      <c r="L113" s="351"/>
    </row>
    <row r="114" spans="2:12" s="25" customFormat="1" ht="31.5" customHeight="1" x14ac:dyDescent="0.25">
      <c r="B114" s="42">
        <f>+B109+1</f>
        <v>31</v>
      </c>
      <c r="C114" s="57" t="s">
        <v>64</v>
      </c>
      <c r="D114" s="58" t="s">
        <v>338</v>
      </c>
      <c r="E114" s="65" t="s">
        <v>505</v>
      </c>
      <c r="F114" s="65" t="s">
        <v>97</v>
      </c>
      <c r="G114" s="53">
        <v>40000</v>
      </c>
      <c r="H114" s="71">
        <v>1148</v>
      </c>
      <c r="I114" s="71">
        <v>1216</v>
      </c>
      <c r="J114" s="43">
        <v>8481.84</v>
      </c>
      <c r="K114" s="53">
        <v>10886.8</v>
      </c>
      <c r="L114" s="44">
        <f>+G114-K114</f>
        <v>29113.200000000001</v>
      </c>
    </row>
    <row r="115" spans="2:12" s="25" customFormat="1" ht="20.100000000000001" customHeight="1" x14ac:dyDescent="0.25">
      <c r="B115" s="352" t="s">
        <v>100</v>
      </c>
      <c r="C115" s="353"/>
      <c r="D115" s="353"/>
      <c r="E115" s="353"/>
      <c r="F115" s="354"/>
      <c r="G115" s="23">
        <f t="shared" ref="G115:L115" si="25">SUM(G114:G114)</f>
        <v>40000</v>
      </c>
      <c r="H115" s="23">
        <f t="shared" si="25"/>
        <v>1148</v>
      </c>
      <c r="I115" s="23">
        <f t="shared" si="25"/>
        <v>1216</v>
      </c>
      <c r="J115" s="23">
        <f t="shared" si="25"/>
        <v>8481.84</v>
      </c>
      <c r="K115" s="23">
        <f t="shared" si="25"/>
        <v>10886.8</v>
      </c>
      <c r="L115" s="23">
        <f t="shared" si="25"/>
        <v>29113.200000000001</v>
      </c>
    </row>
    <row r="116" spans="2:12" s="45" customFormat="1" ht="20.100000000000001" customHeight="1" thickBot="1" x14ac:dyDescent="0.3">
      <c r="B116" s="34"/>
      <c r="C116" s="34"/>
      <c r="D116" s="34"/>
      <c r="E116" s="34"/>
      <c r="F116" s="93"/>
      <c r="G116" s="26"/>
      <c r="H116" s="26"/>
      <c r="I116" s="26"/>
      <c r="J116" s="26"/>
      <c r="K116" s="26"/>
      <c r="L116" s="26"/>
    </row>
    <row r="117" spans="2:12" s="45" customFormat="1" ht="27.75" customHeight="1" thickBot="1" x14ac:dyDescent="0.3">
      <c r="B117" s="366" t="s">
        <v>174</v>
      </c>
      <c r="C117" s="367"/>
      <c r="D117" s="367"/>
      <c r="E117" s="367"/>
      <c r="F117" s="367"/>
      <c r="G117" s="367"/>
      <c r="H117" s="367"/>
      <c r="I117" s="367"/>
      <c r="J117" s="367"/>
      <c r="K117" s="367"/>
      <c r="L117" s="368"/>
    </row>
    <row r="118" spans="2:12" s="25" customFormat="1" ht="22.5" customHeight="1" x14ac:dyDescent="0.25">
      <c r="B118" s="46">
        <f>+B114+1</f>
        <v>32</v>
      </c>
      <c r="C118" s="54" t="s">
        <v>426</v>
      </c>
      <c r="D118" s="22" t="s">
        <v>338</v>
      </c>
      <c r="E118" s="54" t="s">
        <v>487</v>
      </c>
      <c r="F118" s="60" t="s">
        <v>98</v>
      </c>
      <c r="G118" s="56">
        <v>25000</v>
      </c>
      <c r="H118" s="43">
        <f>+G118*2.87%</f>
        <v>717.5</v>
      </c>
      <c r="I118" s="43">
        <f>+G118*3.04%</f>
        <v>760</v>
      </c>
      <c r="J118" s="48">
        <v>3858.29</v>
      </c>
      <c r="K118" s="53">
        <v>5366.41</v>
      </c>
      <c r="L118" s="44">
        <f>+G118-K118</f>
        <v>19633.59</v>
      </c>
    </row>
    <row r="119" spans="2:12" s="25" customFormat="1" ht="20.100000000000001" customHeight="1" x14ac:dyDescent="0.25">
      <c r="B119" s="352" t="s">
        <v>100</v>
      </c>
      <c r="C119" s="353"/>
      <c r="D119" s="353"/>
      <c r="E119" s="353"/>
      <c r="F119" s="354"/>
      <c r="G119" s="23">
        <f t="shared" ref="G119:L119" si="26">SUM(G118:G118)</f>
        <v>25000</v>
      </c>
      <c r="H119" s="23">
        <f t="shared" si="26"/>
        <v>717.5</v>
      </c>
      <c r="I119" s="23">
        <f t="shared" si="26"/>
        <v>760</v>
      </c>
      <c r="J119" s="23">
        <f t="shared" si="26"/>
        <v>3858.29</v>
      </c>
      <c r="K119" s="23">
        <f t="shared" si="26"/>
        <v>5366.41</v>
      </c>
      <c r="L119" s="23">
        <f t="shared" si="26"/>
        <v>19633.59</v>
      </c>
    </row>
    <row r="120" spans="2:12" s="45" customFormat="1" ht="20.100000000000001" customHeight="1" thickBot="1" x14ac:dyDescent="0.3">
      <c r="B120" s="34"/>
      <c r="C120" s="34"/>
      <c r="D120" s="34"/>
      <c r="E120" s="34"/>
      <c r="F120" s="93"/>
      <c r="G120" s="26"/>
      <c r="H120" s="26"/>
      <c r="I120" s="26"/>
      <c r="J120" s="26"/>
      <c r="K120" s="26"/>
      <c r="L120" s="26"/>
    </row>
    <row r="121" spans="2:12" s="45" customFormat="1" ht="20.100000000000001" customHeight="1" thickBot="1" x14ac:dyDescent="0.3">
      <c r="B121" s="349" t="s">
        <v>148</v>
      </c>
      <c r="C121" s="350"/>
      <c r="D121" s="350"/>
      <c r="E121" s="350"/>
      <c r="F121" s="350"/>
      <c r="G121" s="350"/>
      <c r="H121" s="350"/>
      <c r="I121" s="350"/>
      <c r="J121" s="350"/>
      <c r="K121" s="350"/>
      <c r="L121" s="351"/>
    </row>
    <row r="122" spans="2:12" s="25" customFormat="1" ht="20.100000000000001" customHeight="1" x14ac:dyDescent="0.25">
      <c r="B122" s="46">
        <f>+B118+1</f>
        <v>33</v>
      </c>
      <c r="C122" s="54" t="s">
        <v>32</v>
      </c>
      <c r="D122" s="22" t="s">
        <v>339</v>
      </c>
      <c r="E122" s="54" t="s">
        <v>288</v>
      </c>
      <c r="F122" s="60" t="s">
        <v>98</v>
      </c>
      <c r="G122" s="56">
        <v>12500</v>
      </c>
      <c r="H122" s="43">
        <f>+G122*2.87%</f>
        <v>358.75</v>
      </c>
      <c r="I122" s="43">
        <f>+G122*3.04%</f>
        <v>380</v>
      </c>
      <c r="J122" s="48">
        <v>1213.2</v>
      </c>
      <c r="K122" s="53">
        <v>1951.95</v>
      </c>
      <c r="L122" s="44">
        <f>+G122-K122</f>
        <v>10548.05</v>
      </c>
    </row>
    <row r="123" spans="2:12" s="25" customFormat="1" ht="20.100000000000001" customHeight="1" x14ac:dyDescent="0.25">
      <c r="B123" s="352" t="s">
        <v>100</v>
      </c>
      <c r="C123" s="353"/>
      <c r="D123" s="353"/>
      <c r="E123" s="353"/>
      <c r="F123" s="354"/>
      <c r="G123" s="23">
        <f>+G122</f>
        <v>12500</v>
      </c>
      <c r="H123" s="23">
        <f t="shared" ref="H123:L123" si="27">+H122</f>
        <v>358.75</v>
      </c>
      <c r="I123" s="23">
        <f t="shared" si="27"/>
        <v>380</v>
      </c>
      <c r="J123" s="23">
        <f t="shared" si="27"/>
        <v>1213.2</v>
      </c>
      <c r="K123" s="23">
        <f t="shared" si="27"/>
        <v>1951.95</v>
      </c>
      <c r="L123" s="23">
        <f t="shared" si="27"/>
        <v>10548.05</v>
      </c>
    </row>
    <row r="124" spans="2:12" s="25" customFormat="1" ht="20.100000000000001" customHeight="1" thickBot="1" x14ac:dyDescent="0.3">
      <c r="B124" s="27"/>
      <c r="C124" s="32"/>
      <c r="D124" s="62"/>
      <c r="E124" s="32"/>
      <c r="F124" s="40"/>
      <c r="G124" s="33"/>
    </row>
    <row r="125" spans="2:12" ht="25.5" customHeight="1" thickBot="1" x14ac:dyDescent="0.3">
      <c r="B125" s="36"/>
      <c r="C125" s="37" t="s">
        <v>344</v>
      </c>
      <c r="D125" s="63"/>
      <c r="E125" s="38"/>
      <c r="F125" s="90"/>
      <c r="G125" s="39">
        <f t="shared" ref="G125:L125" si="28">+G9+G13+G17+G21+G24+G28+G33+G38+G42+G46+G50+G54+G59+G62+G66+G70+G74+G79+G84+G88+G94+G98+G102+G106+G115+G119+G123+G110</f>
        <v>1519750</v>
      </c>
      <c r="H125" s="39">
        <f t="shared" si="28"/>
        <v>43616.824999999997</v>
      </c>
      <c r="I125" s="39">
        <f t="shared" si="28"/>
        <v>46200.4</v>
      </c>
      <c r="J125" s="39">
        <f t="shared" si="28"/>
        <v>335046.51837499999</v>
      </c>
      <c r="K125" s="39">
        <f t="shared" si="28"/>
        <v>425395.20587499999</v>
      </c>
      <c r="L125" s="39">
        <f t="shared" si="28"/>
        <v>1094354.794125</v>
      </c>
    </row>
    <row r="126" spans="2:12" ht="20.100000000000001" customHeight="1" x14ac:dyDescent="0.25">
      <c r="B126" s="14"/>
      <c r="C126" s="13"/>
      <c r="D126" s="14"/>
      <c r="E126" s="13"/>
      <c r="F126" s="91"/>
      <c r="G126" s="7"/>
      <c r="H126" s="8"/>
      <c r="I126" s="8"/>
      <c r="J126" s="8"/>
      <c r="K126" s="8"/>
      <c r="L126" s="81"/>
    </row>
    <row r="127" spans="2:12" ht="20.100000000000001" customHeight="1" x14ac:dyDescent="0.25">
      <c r="B127" s="14"/>
      <c r="C127" s="13"/>
      <c r="D127" s="14"/>
      <c r="E127" s="13"/>
      <c r="F127" s="91"/>
      <c r="G127" s="7"/>
      <c r="H127" s="8"/>
      <c r="I127" s="8"/>
      <c r="J127" s="8"/>
      <c r="K127" s="8"/>
      <c r="L127" s="8"/>
    </row>
    <row r="128" spans="2:12" ht="20.100000000000001" customHeight="1" thickBot="1" x14ac:dyDescent="0.25">
      <c r="C128" s="333" t="s">
        <v>638</v>
      </c>
      <c r="D128" s="333"/>
      <c r="E128" s="1"/>
      <c r="F128" s="334"/>
      <c r="G128" s="334"/>
    </row>
    <row r="129" spans="3:12" ht="38.25" customHeight="1" x14ac:dyDescent="0.2">
      <c r="C129" s="335" t="s">
        <v>653</v>
      </c>
      <c r="D129" s="335"/>
      <c r="E129" s="205"/>
      <c r="F129" s="336"/>
      <c r="G129" s="336"/>
      <c r="H129" s="330"/>
      <c r="L129" s="4"/>
    </row>
    <row r="130" spans="3:12" ht="20.100000000000001" customHeight="1" x14ac:dyDescent="0.25">
      <c r="C130" s="369"/>
      <c r="D130" s="369"/>
      <c r="E130" s="205"/>
      <c r="F130" s="369"/>
      <c r="G130" s="369"/>
    </row>
    <row r="131" spans="3:12" ht="20.100000000000001" customHeight="1" x14ac:dyDescent="0.25">
      <c r="C131" s="10"/>
      <c r="D131" s="64"/>
      <c r="E131" s="9"/>
      <c r="F131" s="94"/>
      <c r="G131" s="94"/>
    </row>
    <row r="16649" spans="3:3" ht="20.100000000000001" customHeight="1" x14ac:dyDescent="0.2">
      <c r="C16649" s="12">
        <f>SUM(C6:C16648)</f>
        <v>0</v>
      </c>
    </row>
    <row r="16651" spans="3:3" ht="20.100000000000001" customHeight="1" x14ac:dyDescent="0.2">
      <c r="C16651" s="12">
        <f>SUM(C16649)</f>
        <v>0</v>
      </c>
    </row>
    <row r="999974" spans="11:11" ht="20.100000000000001" customHeight="1" x14ac:dyDescent="0.2">
      <c r="K999974" s="5" t="e">
        <f>SUM(#REF!)</f>
        <v>#REF!</v>
      </c>
    </row>
  </sheetData>
  <mergeCells count="67">
    <mergeCell ref="F130:G130"/>
    <mergeCell ref="C130:D130"/>
    <mergeCell ref="B117:L117"/>
    <mergeCell ref="B119:F119"/>
    <mergeCell ref="B115:F115"/>
    <mergeCell ref="B121:L121"/>
    <mergeCell ref="B123:F123"/>
    <mergeCell ref="C128:D128"/>
    <mergeCell ref="F128:G128"/>
    <mergeCell ref="C129:D129"/>
    <mergeCell ref="F129:G129"/>
    <mergeCell ref="B113:L113"/>
    <mergeCell ref="B74:F74"/>
    <mergeCell ref="B90:L90"/>
    <mergeCell ref="B104:L104"/>
    <mergeCell ref="B106:F106"/>
    <mergeCell ref="B96:L96"/>
    <mergeCell ref="B98:F98"/>
    <mergeCell ref="B86:L86"/>
    <mergeCell ref="B88:F88"/>
    <mergeCell ref="B100:L100"/>
    <mergeCell ref="B92:L92"/>
    <mergeCell ref="B94:F94"/>
    <mergeCell ref="B102:F102"/>
    <mergeCell ref="B81:L81"/>
    <mergeCell ref="B79:F79"/>
    <mergeCell ref="B76:L76"/>
    <mergeCell ref="B7:L7"/>
    <mergeCell ref="B9:F9"/>
    <mergeCell ref="B46:F46"/>
    <mergeCell ref="B40:L40"/>
    <mergeCell ref="B42:F42"/>
    <mergeCell ref="B44:L44"/>
    <mergeCell ref="B35:L35"/>
    <mergeCell ref="B38:F38"/>
    <mergeCell ref="B28:F28"/>
    <mergeCell ref="B30:L30"/>
    <mergeCell ref="B33:F33"/>
    <mergeCell ref="B17:F17"/>
    <mergeCell ref="B26:L26"/>
    <mergeCell ref="B11:L11"/>
    <mergeCell ref="B13:F13"/>
    <mergeCell ref="B15:L15"/>
    <mergeCell ref="B1:L1"/>
    <mergeCell ref="B2:L2"/>
    <mergeCell ref="B3:L3"/>
    <mergeCell ref="B4:C4"/>
    <mergeCell ref="H5:I5"/>
    <mergeCell ref="B19:L19"/>
    <mergeCell ref="B21:F21"/>
    <mergeCell ref="B52:L52"/>
    <mergeCell ref="B54:F54"/>
    <mergeCell ref="B60:L60"/>
    <mergeCell ref="B59:F59"/>
    <mergeCell ref="B56:L56"/>
    <mergeCell ref="B22:L22"/>
    <mergeCell ref="B24:F24"/>
    <mergeCell ref="B108:L108"/>
    <mergeCell ref="B110:F110"/>
    <mergeCell ref="B72:L72"/>
    <mergeCell ref="B48:L48"/>
    <mergeCell ref="B50:F50"/>
    <mergeCell ref="B62:F62"/>
    <mergeCell ref="B70:F70"/>
    <mergeCell ref="B64:L64"/>
    <mergeCell ref="B66:F66"/>
    <mergeCell ref="B68:L68"/>
  </mergeCells>
  <pageMargins left="0.15748031496062992" right="0.15748031496062992" top="0.15748031496062992" bottom="0.15748031496062992" header="0.15748031496062992" footer="0.15748031496062992"/>
  <pageSetup paperSize="5" scale="67" fitToHeight="0" orientation="landscape" r:id="rId1"/>
  <rowBreaks count="5" manualBreakCount="5">
    <brk id="38" min="1" max="11" man="1"/>
    <brk id="66" min="1" max="11" man="1"/>
    <brk id="90" min="1" max="11" man="1"/>
    <brk id="112" min="1" max="11" man="1"/>
    <brk id="136" min="1" max="11" man="1"/>
  </rowBreaks>
  <ignoredErrors>
    <ignoredError sqref="K41 K82 K69 K77 K8 K3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48210"/>
  <sheetViews>
    <sheetView showGridLines="0" zoomScale="70" zoomScaleNormal="70" zoomScaleSheetLayoutView="55" workbookViewId="0">
      <pane xSplit="4" topLeftCell="E1" activePane="topRight" state="frozen"/>
      <selection pane="topRight" activeCell="S1" sqref="S1:S1048576"/>
    </sheetView>
  </sheetViews>
  <sheetFormatPr baseColWidth="10" defaultColWidth="11.42578125" defaultRowHeight="39.950000000000003" customHeight="1" x14ac:dyDescent="0.2"/>
  <cols>
    <col min="1" max="1" width="6.42578125" style="113" customWidth="1"/>
    <col min="2" max="2" width="38.85546875" style="144" customWidth="1"/>
    <col min="3" max="3" width="11.7109375" style="113" customWidth="1"/>
    <col min="4" max="4" width="38.5703125" style="144" customWidth="1"/>
    <col min="5" max="5" width="20.42578125" style="144" customWidth="1"/>
    <col min="6" max="6" width="25.42578125" style="144" customWidth="1"/>
    <col min="7" max="7" width="23.140625" style="144" customWidth="1"/>
    <col min="8" max="8" width="19.85546875" style="111" customWidth="1"/>
    <col min="9" max="9" width="17.140625" style="110" customWidth="1"/>
    <col min="10" max="10" width="16.85546875" style="110" customWidth="1"/>
    <col min="11" max="11" width="16.140625" style="110" customWidth="1"/>
    <col min="12" max="12" width="17.28515625" style="110" customWidth="1"/>
    <col min="13" max="13" width="26.140625" style="110" customWidth="1"/>
    <col min="14" max="14" width="16.42578125" style="110" customWidth="1"/>
    <col min="15" max="15" width="14.140625" style="110" customWidth="1"/>
    <col min="16" max="16" width="19" style="110" customWidth="1"/>
    <col min="17" max="17" width="20" style="110" customWidth="1"/>
    <col min="18" max="18" width="20.140625" style="110" customWidth="1"/>
    <col min="19" max="16384" width="11.42578125" style="110"/>
  </cols>
  <sheetData>
    <row r="1" spans="1:18" ht="39.950000000000003" customHeight="1" x14ac:dyDescent="0.2">
      <c r="B1" s="143"/>
      <c r="C1" s="133"/>
    </row>
    <row r="2" spans="1:18" ht="31.5" customHeight="1" x14ac:dyDescent="0.2">
      <c r="A2" s="337" t="s">
        <v>328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</row>
    <row r="3" spans="1:18" ht="24.75" customHeight="1" x14ac:dyDescent="0.2">
      <c r="A3" s="338" t="s">
        <v>331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</row>
    <row r="4" spans="1:18" ht="27" customHeight="1" x14ac:dyDescent="0.2">
      <c r="A4" s="372" t="s">
        <v>650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</row>
    <row r="5" spans="1:18" ht="39.950000000000003" customHeight="1" thickBot="1" x14ac:dyDescent="0.25">
      <c r="A5" s="138"/>
      <c r="B5" s="138"/>
      <c r="C5" s="106"/>
      <c r="D5" s="143"/>
      <c r="E5" s="143"/>
      <c r="F5" s="143"/>
      <c r="G5" s="143"/>
      <c r="H5" s="106"/>
    </row>
    <row r="6" spans="1:18" ht="39.950000000000003" customHeight="1" thickBot="1" x14ac:dyDescent="0.25">
      <c r="A6" s="145"/>
      <c r="B6" s="145"/>
      <c r="C6" s="146"/>
      <c r="D6" s="147"/>
      <c r="E6" s="147"/>
      <c r="F6" s="147"/>
      <c r="G6" s="147"/>
      <c r="H6" s="148"/>
      <c r="I6" s="361" t="s">
        <v>96</v>
      </c>
      <c r="J6" s="373"/>
      <c r="K6" s="373"/>
      <c r="L6" s="362"/>
      <c r="M6" s="95"/>
      <c r="N6" s="149"/>
      <c r="O6" s="149"/>
      <c r="P6" s="149"/>
      <c r="Q6" s="149"/>
      <c r="R6" s="149"/>
    </row>
    <row r="7" spans="1:18" s="111" customFormat="1" ht="51.75" customHeight="1" thickBot="1" x14ac:dyDescent="0.25">
      <c r="A7" s="19" t="s">
        <v>0</v>
      </c>
      <c r="B7" s="19" t="s">
        <v>336</v>
      </c>
      <c r="C7" s="19" t="s">
        <v>340</v>
      </c>
      <c r="D7" s="19" t="s">
        <v>352</v>
      </c>
      <c r="E7" s="19" t="s">
        <v>90</v>
      </c>
      <c r="F7" s="19" t="s">
        <v>94</v>
      </c>
      <c r="G7" s="19" t="s">
        <v>95</v>
      </c>
      <c r="H7" s="21" t="s">
        <v>99</v>
      </c>
      <c r="I7" s="19" t="s">
        <v>1</v>
      </c>
      <c r="J7" s="19" t="s">
        <v>2</v>
      </c>
      <c r="K7" s="21" t="s">
        <v>612</v>
      </c>
      <c r="L7" s="19" t="s">
        <v>440</v>
      </c>
      <c r="M7" s="21" t="s">
        <v>441</v>
      </c>
      <c r="N7" s="21" t="s">
        <v>91</v>
      </c>
      <c r="O7" s="21" t="s">
        <v>518</v>
      </c>
      <c r="P7" s="21" t="s">
        <v>93</v>
      </c>
      <c r="Q7" s="21" t="s">
        <v>3</v>
      </c>
      <c r="R7" s="21" t="s">
        <v>92</v>
      </c>
    </row>
    <row r="8" spans="1:18" s="111" customFormat="1" ht="39.950000000000003" customHeight="1" thickBot="1" x14ac:dyDescent="0.25">
      <c r="A8" s="150" t="s">
        <v>298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</row>
    <row r="9" spans="1:18" s="115" customFormat="1" ht="39.950000000000003" customHeight="1" x14ac:dyDescent="0.2">
      <c r="A9" s="152">
        <v>1</v>
      </c>
      <c r="B9" s="116" t="s">
        <v>299</v>
      </c>
      <c r="C9" s="130" t="s">
        <v>338</v>
      </c>
      <c r="D9" s="153" t="s">
        <v>493</v>
      </c>
      <c r="E9" s="153" t="s">
        <v>180</v>
      </c>
      <c r="F9" s="154" t="s">
        <v>610</v>
      </c>
      <c r="G9" s="154" t="s">
        <v>643</v>
      </c>
      <c r="H9" s="155">
        <v>200000</v>
      </c>
      <c r="I9" s="116">
        <v>5740</v>
      </c>
      <c r="J9" s="116">
        <v>6080</v>
      </c>
      <c r="K9" s="116"/>
      <c r="L9" s="116">
        <f>+J9+I9+K9</f>
        <v>11820</v>
      </c>
      <c r="M9" s="116">
        <f>+H9-L9</f>
        <v>188180</v>
      </c>
      <c r="N9" s="116">
        <f>+IF(M9*12&lt;=416220.01,0,IF(M9*12&lt;=624329.01,(((M9*12-416220.01)*0.15)/12),IF((M9*12&lt;=867123.01),(31216+0.2*(M9*12-624329.01))/12,((79776+0.25*(M9*12-867123.01))/12))))-O9</f>
        <v>35627.937291666669</v>
      </c>
      <c r="O9" s="116"/>
      <c r="P9" s="155">
        <v>25</v>
      </c>
      <c r="Q9" s="116">
        <f>+P9+N9+L9</f>
        <v>47472.937291666669</v>
      </c>
      <c r="R9" s="155">
        <f>+H9-Q9</f>
        <v>152527.06270833334</v>
      </c>
    </row>
    <row r="10" spans="1:18" s="115" customFormat="1" ht="39.950000000000003" customHeight="1" x14ac:dyDescent="0.2">
      <c r="A10" s="156">
        <v>2</v>
      </c>
      <c r="B10" s="157" t="s">
        <v>300</v>
      </c>
      <c r="C10" s="130" t="s">
        <v>338</v>
      </c>
      <c r="D10" s="153" t="s">
        <v>337</v>
      </c>
      <c r="E10" s="153" t="s">
        <v>180</v>
      </c>
      <c r="F10" s="158" t="s">
        <v>637</v>
      </c>
      <c r="G10" s="158" t="s">
        <v>635</v>
      </c>
      <c r="H10" s="159">
        <v>140000</v>
      </c>
      <c r="I10" s="116">
        <f>H10*2.87%</f>
        <v>4018</v>
      </c>
      <c r="J10" s="116">
        <f>+H10*3.04%</f>
        <v>4256</v>
      </c>
      <c r="K10" s="116"/>
      <c r="L10" s="116">
        <f>+J10+I10+K10</f>
        <v>8274</v>
      </c>
      <c r="M10" s="116">
        <f>+H10-L10</f>
        <v>131726</v>
      </c>
      <c r="N10" s="116">
        <f>+IF(M10*12&lt;=416220.01,0,IF(M10*12&lt;=624329.01,(((M10*12-416220.01)*0.15)/12),IF((M10*12&lt;=867123.01),(31216+0.2*(M10*12-624329.01))/12,((79776+0.25*(M10*12-867123.01))/12))))-O10</f>
        <v>21514.437291666665</v>
      </c>
      <c r="O10" s="116"/>
      <c r="P10" s="155">
        <v>25</v>
      </c>
      <c r="Q10" s="116">
        <f>+P10+N10+L10</f>
        <v>29813.437291666665</v>
      </c>
      <c r="R10" s="160">
        <f>+H10-Q10</f>
        <v>110186.56270833334</v>
      </c>
    </row>
    <row r="11" spans="1:18" s="115" customFormat="1" ht="39.950000000000003" customHeight="1" x14ac:dyDescent="0.2">
      <c r="A11" s="370" t="s">
        <v>100</v>
      </c>
      <c r="B11" s="371"/>
      <c r="C11" s="100"/>
      <c r="D11" s="100"/>
      <c r="E11" s="100"/>
      <c r="F11" s="100"/>
      <c r="G11" s="100"/>
      <c r="H11" s="101">
        <f>SUM(H9:H10)</f>
        <v>340000</v>
      </c>
      <c r="I11" s="101">
        <f t="shared" ref="I11:Q11" si="0">SUM(I9:I10)</f>
        <v>9758</v>
      </c>
      <c r="J11" s="101">
        <f t="shared" si="0"/>
        <v>10336</v>
      </c>
      <c r="K11" s="101">
        <f t="shared" si="0"/>
        <v>0</v>
      </c>
      <c r="L11" s="101">
        <f t="shared" si="0"/>
        <v>20094</v>
      </c>
      <c r="M11" s="101">
        <f t="shared" si="0"/>
        <v>319906</v>
      </c>
      <c r="N11" s="101">
        <f t="shared" si="0"/>
        <v>57142.374583333338</v>
      </c>
      <c r="O11" s="101">
        <f t="shared" si="0"/>
        <v>0</v>
      </c>
      <c r="P11" s="101">
        <f t="shared" si="0"/>
        <v>50</v>
      </c>
      <c r="Q11" s="101">
        <f t="shared" si="0"/>
        <v>77286.374583333338</v>
      </c>
      <c r="R11" s="101">
        <f>SUM(R9:R10)</f>
        <v>262713.62541666668</v>
      </c>
    </row>
    <row r="12" spans="1:18" s="111" customFormat="1" ht="39.950000000000003" customHeight="1" thickBot="1" x14ac:dyDescent="0.25">
      <c r="A12" s="98"/>
      <c r="B12" s="98"/>
      <c r="C12" s="133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</row>
    <row r="13" spans="1:18" s="111" customFormat="1" ht="39.950000000000003" customHeight="1" thickBot="1" x14ac:dyDescent="0.25">
      <c r="A13" s="150" t="s">
        <v>246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</row>
    <row r="14" spans="1:18" s="111" customFormat="1" ht="39.950000000000003" customHeight="1" x14ac:dyDescent="0.2">
      <c r="A14" s="108">
        <f>+A10+1</f>
        <v>3</v>
      </c>
      <c r="B14" s="161" t="s">
        <v>437</v>
      </c>
      <c r="C14" s="135" t="s">
        <v>339</v>
      </c>
      <c r="D14" s="107" t="s">
        <v>507</v>
      </c>
      <c r="E14" s="153" t="s">
        <v>180</v>
      </c>
      <c r="F14" s="153" t="s">
        <v>599</v>
      </c>
      <c r="G14" s="153" t="s">
        <v>648</v>
      </c>
      <c r="H14" s="165">
        <v>180000</v>
      </c>
      <c r="I14" s="105">
        <f>H14*2.87%</f>
        <v>5166</v>
      </c>
      <c r="J14" s="105">
        <f>+H14*3.04%</f>
        <v>5472</v>
      </c>
      <c r="K14" s="105"/>
      <c r="L14" s="116">
        <f>+J14+I14+K14</f>
        <v>10638</v>
      </c>
      <c r="M14" s="116">
        <f>+H14-L14</f>
        <v>169362</v>
      </c>
      <c r="N14" s="116">
        <f t="shared" ref="N14:N19" si="1">+IF(M14*12&lt;=416220.01,0,IF(M14*12&lt;=624329.01,(((M14*12-416220.01)*0.15)/12),IF((M14*12&lt;=867123.01),(31216+0.2*(M14*12-624329.01))/12,((79776+0.25*(M14*12-867123.01))/12))))-O14</f>
        <v>30923.437291666665</v>
      </c>
      <c r="O14" s="116"/>
      <c r="P14" s="117">
        <v>25</v>
      </c>
      <c r="Q14" s="116">
        <f t="shared" ref="Q14:Q19" si="2">+P14+N14+L14</f>
        <v>41586.437291666662</v>
      </c>
      <c r="R14" s="117">
        <f t="shared" ref="R14:R19" si="3">H14-Q14</f>
        <v>138413.56270833334</v>
      </c>
    </row>
    <row r="15" spans="1:18" s="115" customFormat="1" ht="39.950000000000003" customHeight="1" x14ac:dyDescent="0.2">
      <c r="A15" s="108">
        <f>+A14+1</f>
        <v>4</v>
      </c>
      <c r="B15" s="161" t="s">
        <v>438</v>
      </c>
      <c r="C15" s="135" t="s">
        <v>338</v>
      </c>
      <c r="D15" s="107" t="s">
        <v>425</v>
      </c>
      <c r="E15" s="153" t="s">
        <v>180</v>
      </c>
      <c r="F15" s="153" t="s">
        <v>576</v>
      </c>
      <c r="G15" s="153" t="s">
        <v>620</v>
      </c>
      <c r="H15" s="165">
        <v>80000</v>
      </c>
      <c r="I15" s="105">
        <f>H15*2.87%</f>
        <v>2296</v>
      </c>
      <c r="J15" s="105">
        <f>+H15*3.04%</f>
        <v>2432</v>
      </c>
      <c r="K15" s="105"/>
      <c r="L15" s="116">
        <f t="shared" ref="L15" si="4">+J15+I15+K15</f>
        <v>4728</v>
      </c>
      <c r="M15" s="116">
        <f t="shared" ref="M15" si="5">+H15-L15</f>
        <v>75272</v>
      </c>
      <c r="N15" s="116">
        <f t="shared" si="1"/>
        <v>7400.9372916666662</v>
      </c>
      <c r="O15" s="116">
        <v>0</v>
      </c>
      <c r="P15" s="117">
        <v>25</v>
      </c>
      <c r="Q15" s="116">
        <f t="shared" si="2"/>
        <v>12153.937291666665</v>
      </c>
      <c r="R15" s="117">
        <f t="shared" si="3"/>
        <v>67846.062708333338</v>
      </c>
    </row>
    <row r="16" spans="1:18" s="115" customFormat="1" ht="39.950000000000003" customHeight="1" x14ac:dyDescent="0.2">
      <c r="A16" s="152">
        <f>+A15+1</f>
        <v>5</v>
      </c>
      <c r="B16" s="157" t="s">
        <v>419</v>
      </c>
      <c r="C16" s="130" t="s">
        <v>338</v>
      </c>
      <c r="D16" s="153" t="s">
        <v>531</v>
      </c>
      <c r="E16" s="153" t="s">
        <v>180</v>
      </c>
      <c r="F16" s="153" t="s">
        <v>599</v>
      </c>
      <c r="G16" s="153" t="s">
        <v>648</v>
      </c>
      <c r="H16" s="159">
        <v>80000</v>
      </c>
      <c r="I16" s="105">
        <f>H16*2.87%</f>
        <v>2296</v>
      </c>
      <c r="J16" s="105">
        <f>+H16*3.04%</f>
        <v>2432</v>
      </c>
      <c r="K16" s="105"/>
      <c r="L16" s="116">
        <f>+J16+I16+K16</f>
        <v>4728</v>
      </c>
      <c r="M16" s="116">
        <f>+H16-L16</f>
        <v>75272</v>
      </c>
      <c r="N16" s="116">
        <f t="shared" si="1"/>
        <v>7400.9372916666662</v>
      </c>
      <c r="O16" s="116">
        <v>0</v>
      </c>
      <c r="P16" s="117">
        <v>1640.38</v>
      </c>
      <c r="Q16" s="116">
        <f t="shared" si="2"/>
        <v>13769.317291666666</v>
      </c>
      <c r="R16" s="117">
        <f t="shared" si="3"/>
        <v>66230.682708333334</v>
      </c>
    </row>
    <row r="17" spans="1:18" s="115" customFormat="1" ht="39.950000000000003" customHeight="1" x14ac:dyDescent="0.2">
      <c r="A17" s="152">
        <f t="shared" ref="A17:A18" si="6">+A16+1</f>
        <v>6</v>
      </c>
      <c r="B17" s="157" t="s">
        <v>297</v>
      </c>
      <c r="C17" s="130" t="s">
        <v>339</v>
      </c>
      <c r="D17" s="153" t="s">
        <v>531</v>
      </c>
      <c r="E17" s="153" t="s">
        <v>180</v>
      </c>
      <c r="F17" s="154" t="s">
        <v>610</v>
      </c>
      <c r="G17" s="154" t="s">
        <v>643</v>
      </c>
      <c r="H17" s="159">
        <v>80000</v>
      </c>
      <c r="I17" s="105">
        <f t="shared" ref="I17:I19" si="7">H17*2.87%</f>
        <v>2296</v>
      </c>
      <c r="J17" s="105">
        <f t="shared" ref="J17:J19" si="8">+H17*3.04%</f>
        <v>2432</v>
      </c>
      <c r="K17" s="105"/>
      <c r="L17" s="116">
        <f t="shared" ref="L17:L19" si="9">+J17+I17+K17</f>
        <v>4728</v>
      </c>
      <c r="M17" s="116">
        <f t="shared" ref="M17:M19" si="10">+H17-L17</f>
        <v>75272</v>
      </c>
      <c r="N17" s="116">
        <f t="shared" si="1"/>
        <v>7400.9372916666662</v>
      </c>
      <c r="O17" s="116">
        <v>0</v>
      </c>
      <c r="P17" s="160">
        <f>200+65</f>
        <v>265</v>
      </c>
      <c r="Q17" s="116">
        <f t="shared" si="2"/>
        <v>12393.937291666665</v>
      </c>
      <c r="R17" s="117">
        <f t="shared" si="3"/>
        <v>67606.062708333338</v>
      </c>
    </row>
    <row r="18" spans="1:18" s="111" customFormat="1" ht="39.950000000000003" customHeight="1" x14ac:dyDescent="0.2">
      <c r="A18" s="108">
        <f t="shared" si="6"/>
        <v>7</v>
      </c>
      <c r="B18" s="168" t="s">
        <v>532</v>
      </c>
      <c r="C18" s="135" t="s">
        <v>339</v>
      </c>
      <c r="D18" s="107" t="s">
        <v>531</v>
      </c>
      <c r="E18" s="153" t="s">
        <v>180</v>
      </c>
      <c r="F18" s="154" t="s">
        <v>610</v>
      </c>
      <c r="G18" s="154" t="s">
        <v>643</v>
      </c>
      <c r="H18" s="165">
        <v>80000</v>
      </c>
      <c r="I18" s="105">
        <f t="shared" si="7"/>
        <v>2296</v>
      </c>
      <c r="J18" s="105">
        <f t="shared" si="8"/>
        <v>2432</v>
      </c>
      <c r="K18" s="105"/>
      <c r="L18" s="116">
        <f t="shared" si="9"/>
        <v>4728</v>
      </c>
      <c r="M18" s="116">
        <f t="shared" si="10"/>
        <v>75272</v>
      </c>
      <c r="N18" s="116">
        <f t="shared" si="1"/>
        <v>7400.9372916666662</v>
      </c>
      <c r="O18" s="116">
        <v>0</v>
      </c>
      <c r="P18" s="160">
        <v>25</v>
      </c>
      <c r="Q18" s="116">
        <f t="shared" si="2"/>
        <v>12153.937291666665</v>
      </c>
      <c r="R18" s="117">
        <f t="shared" si="3"/>
        <v>67846.062708333338</v>
      </c>
    </row>
    <row r="19" spans="1:18" s="111" customFormat="1" ht="39.950000000000003" customHeight="1" x14ac:dyDescent="0.2">
      <c r="A19" s="108">
        <f>+A18+1</f>
        <v>8</v>
      </c>
      <c r="B19" s="168" t="s">
        <v>575</v>
      </c>
      <c r="C19" s="135" t="s">
        <v>338</v>
      </c>
      <c r="D19" s="107" t="s">
        <v>531</v>
      </c>
      <c r="E19" s="153" t="s">
        <v>180</v>
      </c>
      <c r="F19" s="153" t="s">
        <v>576</v>
      </c>
      <c r="G19" s="153" t="s">
        <v>620</v>
      </c>
      <c r="H19" s="165">
        <v>80000</v>
      </c>
      <c r="I19" s="105">
        <f t="shared" si="7"/>
        <v>2296</v>
      </c>
      <c r="J19" s="105">
        <f t="shared" si="8"/>
        <v>2432</v>
      </c>
      <c r="K19" s="105"/>
      <c r="L19" s="116">
        <f t="shared" si="9"/>
        <v>4728</v>
      </c>
      <c r="M19" s="116">
        <f t="shared" si="10"/>
        <v>75272</v>
      </c>
      <c r="N19" s="116">
        <f t="shared" si="1"/>
        <v>7400.9372916666662</v>
      </c>
      <c r="O19" s="116"/>
      <c r="P19" s="160">
        <v>4525</v>
      </c>
      <c r="Q19" s="116">
        <f t="shared" si="2"/>
        <v>16653.937291666665</v>
      </c>
      <c r="R19" s="117">
        <f t="shared" si="3"/>
        <v>63346.062708333338</v>
      </c>
    </row>
    <row r="20" spans="1:18" s="111" customFormat="1" ht="39.950000000000003" customHeight="1" x14ac:dyDescent="0.2">
      <c r="A20" s="370" t="s">
        <v>100</v>
      </c>
      <c r="B20" s="371"/>
      <c r="C20" s="100"/>
      <c r="D20" s="100"/>
      <c r="E20" s="100"/>
      <c r="F20" s="100"/>
      <c r="G20" s="100"/>
      <c r="H20" s="101">
        <f>SUM(H14:H19)</f>
        <v>580000</v>
      </c>
      <c r="I20" s="101">
        <f>SUM(I14:I19)</f>
        <v>16646</v>
      </c>
      <c r="J20" s="101">
        <f>SUM(J14:J19)</f>
        <v>17632</v>
      </c>
      <c r="K20" s="101">
        <f>SUM(K14:K18)</f>
        <v>0</v>
      </c>
      <c r="L20" s="101">
        <f>SUM(L14:L19)</f>
        <v>34278</v>
      </c>
      <c r="M20" s="101">
        <f>SUM(M14:M19)</f>
        <v>545722</v>
      </c>
      <c r="N20" s="101">
        <f>SUM(N14:N19)</f>
        <v>67928.123749999999</v>
      </c>
      <c r="O20" s="101">
        <f>SUM(O14:O18)</f>
        <v>0</v>
      </c>
      <c r="P20" s="101">
        <f>SUM(P14:P19)</f>
        <v>6505.38</v>
      </c>
      <c r="Q20" s="101">
        <f t="shared" ref="Q20:R20" si="11">SUM(Q14:Q19)</f>
        <v>108711.50374999997</v>
      </c>
      <c r="R20" s="101">
        <f t="shared" si="11"/>
        <v>471288.49625000008</v>
      </c>
    </row>
    <row r="21" spans="1:18" s="170" customFormat="1" ht="39.950000000000003" customHeight="1" thickBot="1" x14ac:dyDescent="0.25">
      <c r="A21" s="169"/>
      <c r="B21" s="169"/>
      <c r="C21" s="169"/>
      <c r="D21" s="169"/>
      <c r="E21" s="169"/>
      <c r="F21" s="169"/>
      <c r="G21" s="169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</row>
    <row r="22" spans="1:18" s="115" customFormat="1" ht="39.950000000000003" customHeight="1" thickBot="1" x14ac:dyDescent="0.25">
      <c r="A22" s="150" t="s">
        <v>69</v>
      </c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</row>
    <row r="23" spans="1:18" s="115" customFormat="1" ht="39.950000000000003" customHeight="1" x14ac:dyDescent="0.2">
      <c r="A23" s="156">
        <f>+A19+1</f>
        <v>9</v>
      </c>
      <c r="B23" s="157" t="s">
        <v>301</v>
      </c>
      <c r="C23" s="130" t="s">
        <v>338</v>
      </c>
      <c r="D23" s="107" t="s">
        <v>506</v>
      </c>
      <c r="E23" s="153" t="s">
        <v>180</v>
      </c>
      <c r="F23" s="153" t="s">
        <v>621</v>
      </c>
      <c r="G23" s="153" t="s">
        <v>654</v>
      </c>
      <c r="H23" s="155">
        <v>180000</v>
      </c>
      <c r="I23" s="118">
        <f>H23*2.87%</f>
        <v>5166</v>
      </c>
      <c r="J23" s="171">
        <f>+H23*3.04%</f>
        <v>5472</v>
      </c>
      <c r="K23" s="118"/>
      <c r="L23" s="116">
        <f>+J23+I23+K23</f>
        <v>10638</v>
      </c>
      <c r="M23" s="116">
        <f>+H23-L23</f>
        <v>169362</v>
      </c>
      <c r="N23" s="116">
        <f>+IF(M23*12&lt;=416220.01,0,IF(M23*12&lt;=624329.01,(((M23*12-416220.01)*0.15)/12),IF((M23*12&lt;=867123.01),(31216+0.2*(M23*12-624329.01))/12,((79776+0.25*(M23*12-867123.01))/12))))-O23</f>
        <v>30923.437291666665</v>
      </c>
      <c r="O23" s="116"/>
      <c r="P23" s="116">
        <v>25</v>
      </c>
      <c r="Q23" s="116">
        <f>+P23+N23+L23</f>
        <v>41586.437291666662</v>
      </c>
      <c r="R23" s="155">
        <f>+H23-Q23</f>
        <v>138413.56270833334</v>
      </c>
    </row>
    <row r="24" spans="1:18" s="111" customFormat="1" ht="39.950000000000003" customHeight="1" x14ac:dyDescent="0.2">
      <c r="A24" s="156">
        <f>+A23+1</f>
        <v>10</v>
      </c>
      <c r="B24" s="157" t="s">
        <v>303</v>
      </c>
      <c r="C24" s="130" t="s">
        <v>338</v>
      </c>
      <c r="D24" s="107" t="s">
        <v>116</v>
      </c>
      <c r="E24" s="153" t="s">
        <v>180</v>
      </c>
      <c r="F24" s="158" t="s">
        <v>637</v>
      </c>
      <c r="G24" s="158" t="s">
        <v>635</v>
      </c>
      <c r="H24" s="155">
        <v>110000</v>
      </c>
      <c r="I24" s="118">
        <f>H24*2.87%</f>
        <v>3157</v>
      </c>
      <c r="J24" s="97">
        <f>+H24*3.04%</f>
        <v>3344</v>
      </c>
      <c r="K24" s="118"/>
      <c r="L24" s="116">
        <f>+J24+I24+K24</f>
        <v>6501</v>
      </c>
      <c r="M24" s="116">
        <f>+H24-L24</f>
        <v>103499</v>
      </c>
      <c r="N24" s="116">
        <f>+IF(M24*12&lt;=416220.01,0,IF(M24*12&lt;=624329.01,(((M24*12-416220.01)*0.15)/12),IF((M24*12&lt;=867123.01),(31216+0.2*(M24*12-624329.01))/12,((79776+0.25*(M24*12-867123.01))/12))))-O24</f>
        <v>14457.687291666667</v>
      </c>
      <c r="O24" s="116"/>
      <c r="P24" s="155">
        <v>25</v>
      </c>
      <c r="Q24" s="116">
        <f>+P24+N24+L24</f>
        <v>20983.687291666669</v>
      </c>
      <c r="R24" s="155">
        <f>+H24-Q24</f>
        <v>89016.312708333338</v>
      </c>
    </row>
    <row r="25" spans="1:18" s="111" customFormat="1" ht="39.950000000000003" customHeight="1" x14ac:dyDescent="0.2">
      <c r="A25" s="156">
        <f>+A24+1</f>
        <v>11</v>
      </c>
      <c r="B25" s="157" t="s">
        <v>459</v>
      </c>
      <c r="C25" s="130" t="s">
        <v>338</v>
      </c>
      <c r="D25" s="107" t="s">
        <v>116</v>
      </c>
      <c r="E25" s="153" t="s">
        <v>180</v>
      </c>
      <c r="F25" s="153" t="s">
        <v>588</v>
      </c>
      <c r="G25" s="153" t="s">
        <v>632</v>
      </c>
      <c r="H25" s="155">
        <v>80000</v>
      </c>
      <c r="I25" s="118">
        <f>H25*2.87%</f>
        <v>2296</v>
      </c>
      <c r="J25" s="118">
        <f>+H25*3.04%</f>
        <v>2432</v>
      </c>
      <c r="K25" s="118"/>
      <c r="L25" s="116">
        <f>+J25+I25+K25</f>
        <v>4728</v>
      </c>
      <c r="M25" s="116">
        <f>+H25-L25</f>
        <v>75272</v>
      </c>
      <c r="N25" s="116">
        <f>+IF(M25*12&lt;=416220.01,0,IF(M25*12&lt;=624329.01,(((M25*12-416220.01)*0.15)/12),IF((M25*12&lt;=867123.01),(31216+0.2*(M25*12-624329.01))/12,((79776+0.25*(M25*12-867123.01))/12))))-O25</f>
        <v>7400.9372916666662</v>
      </c>
      <c r="O25" s="116"/>
      <c r="P25" s="155">
        <f>40+25</f>
        <v>65</v>
      </c>
      <c r="Q25" s="116">
        <f>+P25+N25+L25</f>
        <v>12193.937291666665</v>
      </c>
      <c r="R25" s="155">
        <f>+H25-Q25</f>
        <v>67806.062708333338</v>
      </c>
    </row>
    <row r="26" spans="1:18" s="111" customFormat="1" ht="39.950000000000003" customHeight="1" x14ac:dyDescent="0.2">
      <c r="A26" s="370" t="s">
        <v>100</v>
      </c>
      <c r="B26" s="371"/>
      <c r="C26" s="100"/>
      <c r="D26" s="100"/>
      <c r="E26" s="100"/>
      <c r="F26" s="100"/>
      <c r="G26" s="100"/>
      <c r="H26" s="101">
        <f>SUM(H23:H25)</f>
        <v>370000</v>
      </c>
      <c r="I26" s="101">
        <f t="shared" ref="I26:R26" si="12">SUM(I23:I25)</f>
        <v>10619</v>
      </c>
      <c r="J26" s="101">
        <f t="shared" si="12"/>
        <v>11248</v>
      </c>
      <c r="K26" s="101">
        <f t="shared" si="12"/>
        <v>0</v>
      </c>
      <c r="L26" s="101">
        <f t="shared" si="12"/>
        <v>21867</v>
      </c>
      <c r="M26" s="101">
        <f t="shared" si="12"/>
        <v>348133</v>
      </c>
      <c r="N26" s="101">
        <f t="shared" si="12"/>
        <v>52782.061874999999</v>
      </c>
      <c r="O26" s="101">
        <f t="shared" si="12"/>
        <v>0</v>
      </c>
      <c r="P26" s="101">
        <f t="shared" si="12"/>
        <v>115</v>
      </c>
      <c r="Q26" s="101">
        <f t="shared" si="12"/>
        <v>74764.061874999999</v>
      </c>
      <c r="R26" s="101">
        <f t="shared" si="12"/>
        <v>295235.93812499999</v>
      </c>
    </row>
    <row r="27" spans="1:18" s="170" customFormat="1" ht="39.950000000000003" customHeight="1" thickBot="1" x14ac:dyDescent="0.25">
      <c r="A27" s="169"/>
      <c r="B27" s="169"/>
      <c r="C27" s="169"/>
      <c r="D27" s="169"/>
      <c r="E27" s="169"/>
      <c r="F27" s="169"/>
      <c r="G27" s="169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</row>
    <row r="28" spans="1:18" s="114" customFormat="1" ht="39.950000000000003" customHeight="1" thickBot="1" x14ac:dyDescent="0.25">
      <c r="A28" s="150" t="s">
        <v>304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</row>
    <row r="29" spans="1:18" s="114" customFormat="1" ht="39.950000000000003" customHeight="1" x14ac:dyDescent="0.2">
      <c r="A29" s="156">
        <f>+A25+1</f>
        <v>12</v>
      </c>
      <c r="B29" s="141" t="s">
        <v>302</v>
      </c>
      <c r="C29" s="129" t="s">
        <v>338</v>
      </c>
      <c r="D29" s="175" t="s">
        <v>414</v>
      </c>
      <c r="E29" s="175" t="s">
        <v>180</v>
      </c>
      <c r="F29" s="154" t="s">
        <v>610</v>
      </c>
      <c r="G29" s="154" t="s">
        <v>643</v>
      </c>
      <c r="H29" s="163">
        <v>115000</v>
      </c>
      <c r="I29" s="116">
        <f>H29*2.87%</f>
        <v>3300.5</v>
      </c>
      <c r="J29" s="116">
        <f>+H29*3.04%</f>
        <v>3496</v>
      </c>
      <c r="K29" s="116"/>
      <c r="L29" s="116">
        <f t="shared" ref="L29:L34" si="13">+J29+I29+K29</f>
        <v>6796.5</v>
      </c>
      <c r="M29" s="116">
        <f t="shared" ref="M29:M34" si="14">+H29-L29</f>
        <v>108203.5</v>
      </c>
      <c r="N29" s="116">
        <f t="shared" ref="N29:N34" si="15">+IF(M29*12&lt;=416220.01,0,IF(M29*12&lt;=624329.01,(((M29*12-416220.01)*0.15)/12),IF((M29*12&lt;=867123.01),(31216+0.2*(M29*12-624329.01))/12,((79776+0.25*(M29*12-867123.01))/12))))-O29</f>
        <v>15633.812291666667</v>
      </c>
      <c r="O29" s="116"/>
      <c r="P29" s="160">
        <v>24005.75</v>
      </c>
      <c r="Q29" s="116">
        <f t="shared" ref="Q29:Q34" si="16">+P29+N29+L29</f>
        <v>46436.062291666669</v>
      </c>
      <c r="R29" s="160">
        <f t="shared" ref="R29:R34" si="17">+H29-Q29</f>
        <v>68563.937708333338</v>
      </c>
    </row>
    <row r="30" spans="1:18" s="111" customFormat="1" ht="39.950000000000003" customHeight="1" x14ac:dyDescent="0.2">
      <c r="A30" s="156">
        <f>+A29+1</f>
        <v>13</v>
      </c>
      <c r="B30" s="141" t="s">
        <v>182</v>
      </c>
      <c r="C30" s="129" t="s">
        <v>338</v>
      </c>
      <c r="D30" s="175" t="s">
        <v>502</v>
      </c>
      <c r="E30" s="175" t="s">
        <v>180</v>
      </c>
      <c r="F30" s="158" t="s">
        <v>637</v>
      </c>
      <c r="G30" s="158" t="s">
        <v>635</v>
      </c>
      <c r="H30" s="163">
        <v>100000</v>
      </c>
      <c r="I30" s="116">
        <f>H30*2.87%</f>
        <v>2870</v>
      </c>
      <c r="J30" s="118">
        <f>+H30*3.04%</f>
        <v>3040</v>
      </c>
      <c r="K30" s="118">
        <f>1919.78*2</f>
        <v>3839.56</v>
      </c>
      <c r="L30" s="118">
        <f t="shared" si="13"/>
        <v>9749.56</v>
      </c>
      <c r="M30" s="116">
        <f t="shared" si="14"/>
        <v>90250.44</v>
      </c>
      <c r="N30" s="116">
        <f t="shared" si="15"/>
        <v>11145.547291666668</v>
      </c>
      <c r="O30" s="116"/>
      <c r="P30" s="160">
        <v>25</v>
      </c>
      <c r="Q30" s="116">
        <f t="shared" si="16"/>
        <v>20920.107291666667</v>
      </c>
      <c r="R30" s="160">
        <f t="shared" si="17"/>
        <v>79079.892708333326</v>
      </c>
    </row>
    <row r="31" spans="1:18" s="111" customFormat="1" ht="39.950000000000003" customHeight="1" x14ac:dyDescent="0.2">
      <c r="A31" s="156">
        <f>+A30+1</f>
        <v>14</v>
      </c>
      <c r="B31" s="141" t="s">
        <v>501</v>
      </c>
      <c r="C31" s="129" t="s">
        <v>338</v>
      </c>
      <c r="D31" s="175" t="s">
        <v>502</v>
      </c>
      <c r="E31" s="175" t="s">
        <v>180</v>
      </c>
      <c r="F31" s="154" t="s">
        <v>610</v>
      </c>
      <c r="G31" s="154" t="s">
        <v>643</v>
      </c>
      <c r="H31" s="163">
        <v>90000</v>
      </c>
      <c r="I31" s="116">
        <f>H31*2.87%</f>
        <v>2583</v>
      </c>
      <c r="J31" s="116">
        <f>+H31*3.04%</f>
        <v>2736</v>
      </c>
      <c r="K31" s="116">
        <v>1919.78</v>
      </c>
      <c r="L31" s="116">
        <f t="shared" si="13"/>
        <v>7238.78</v>
      </c>
      <c r="M31" s="116">
        <f t="shared" si="14"/>
        <v>82761.22</v>
      </c>
      <c r="N31" s="116">
        <f t="shared" si="15"/>
        <v>9273.2422916666674</v>
      </c>
      <c r="O31" s="116"/>
      <c r="P31" s="160">
        <v>25</v>
      </c>
      <c r="Q31" s="116">
        <f t="shared" si="16"/>
        <v>16537.022291666668</v>
      </c>
      <c r="R31" s="160">
        <f t="shared" si="17"/>
        <v>73462.977708333332</v>
      </c>
    </row>
    <row r="32" spans="1:18" s="170" customFormat="1" ht="39.950000000000003" customHeight="1" x14ac:dyDescent="0.2">
      <c r="A32" s="156">
        <f>+A31+1</f>
        <v>15</v>
      </c>
      <c r="B32" s="141" t="s">
        <v>313</v>
      </c>
      <c r="C32" s="129" t="s">
        <v>339</v>
      </c>
      <c r="D32" s="175" t="s">
        <v>502</v>
      </c>
      <c r="E32" s="175" t="s">
        <v>180</v>
      </c>
      <c r="F32" s="153" t="s">
        <v>576</v>
      </c>
      <c r="G32" s="153" t="s">
        <v>620</v>
      </c>
      <c r="H32" s="163">
        <v>80000</v>
      </c>
      <c r="I32" s="118">
        <f t="shared" ref="I32" si="18">H32*2.87%</f>
        <v>2296</v>
      </c>
      <c r="J32" s="116">
        <f t="shared" ref="J32" si="19">+H32*3.04%</f>
        <v>2432</v>
      </c>
      <c r="K32" s="116"/>
      <c r="L32" s="116">
        <f t="shared" si="13"/>
        <v>4728</v>
      </c>
      <c r="M32" s="116">
        <f t="shared" si="14"/>
        <v>75272</v>
      </c>
      <c r="N32" s="116">
        <f t="shared" si="15"/>
        <v>7400.9372916666662</v>
      </c>
      <c r="O32" s="116"/>
      <c r="P32" s="160">
        <v>7182.29</v>
      </c>
      <c r="Q32" s="116">
        <f t="shared" si="16"/>
        <v>19311.227291666666</v>
      </c>
      <c r="R32" s="160">
        <f t="shared" si="17"/>
        <v>60688.77270833333</v>
      </c>
    </row>
    <row r="33" spans="1:18" s="111" customFormat="1" ht="39.950000000000003" customHeight="1" x14ac:dyDescent="0.2">
      <c r="A33" s="156">
        <f>+A32+1</f>
        <v>16</v>
      </c>
      <c r="B33" s="141" t="s">
        <v>561</v>
      </c>
      <c r="C33" s="129" t="s">
        <v>339</v>
      </c>
      <c r="D33" s="175" t="s">
        <v>502</v>
      </c>
      <c r="E33" s="175" t="s">
        <v>180</v>
      </c>
      <c r="F33" s="154" t="s">
        <v>610</v>
      </c>
      <c r="G33" s="154" t="s">
        <v>643</v>
      </c>
      <c r="H33" s="163">
        <v>80000</v>
      </c>
      <c r="I33" s="118">
        <f>H33*2.87%</f>
        <v>2296</v>
      </c>
      <c r="J33" s="118">
        <f>+H33*3.04%</f>
        <v>2432</v>
      </c>
      <c r="K33" s="116"/>
      <c r="L33" s="116">
        <f t="shared" si="13"/>
        <v>4728</v>
      </c>
      <c r="M33" s="116">
        <f t="shared" si="14"/>
        <v>75272</v>
      </c>
      <c r="N33" s="116">
        <f t="shared" si="15"/>
        <v>7400.9372916666662</v>
      </c>
      <c r="O33" s="116"/>
      <c r="P33" s="160">
        <v>25</v>
      </c>
      <c r="Q33" s="116">
        <f t="shared" si="16"/>
        <v>12153.937291666665</v>
      </c>
      <c r="R33" s="160">
        <f t="shared" si="17"/>
        <v>67846.062708333338</v>
      </c>
    </row>
    <row r="34" spans="1:18" s="111" customFormat="1" ht="39.950000000000003" customHeight="1" x14ac:dyDescent="0.2">
      <c r="A34" s="156">
        <f>+A33+1</f>
        <v>17</v>
      </c>
      <c r="B34" s="141" t="s">
        <v>640</v>
      </c>
      <c r="C34" s="129" t="s">
        <v>338</v>
      </c>
      <c r="D34" s="175" t="s">
        <v>502</v>
      </c>
      <c r="E34" s="175" t="s">
        <v>180</v>
      </c>
      <c r="F34" s="154" t="s">
        <v>610</v>
      </c>
      <c r="G34" s="154" t="s">
        <v>643</v>
      </c>
      <c r="H34" s="163">
        <v>80000</v>
      </c>
      <c r="I34" s="118">
        <f>H34*2.87%</f>
        <v>2296</v>
      </c>
      <c r="J34" s="118">
        <f>+H34*3.04%</f>
        <v>2432</v>
      </c>
      <c r="K34" s="116"/>
      <c r="L34" s="116">
        <f t="shared" si="13"/>
        <v>4728</v>
      </c>
      <c r="M34" s="116">
        <f t="shared" si="14"/>
        <v>75272</v>
      </c>
      <c r="N34" s="116">
        <f t="shared" si="15"/>
        <v>7400.9372916666662</v>
      </c>
      <c r="O34" s="116"/>
      <c r="P34" s="160">
        <v>25</v>
      </c>
      <c r="Q34" s="116">
        <f t="shared" si="16"/>
        <v>12153.937291666665</v>
      </c>
      <c r="R34" s="160">
        <f t="shared" si="17"/>
        <v>67846.062708333338</v>
      </c>
    </row>
    <row r="35" spans="1:18" s="114" customFormat="1" ht="39.950000000000003" customHeight="1" x14ac:dyDescent="0.2">
      <c r="A35" s="370" t="s">
        <v>100</v>
      </c>
      <c r="B35" s="371"/>
      <c r="C35" s="100"/>
      <c r="D35" s="100"/>
      <c r="E35" s="100"/>
      <c r="F35" s="100"/>
      <c r="G35" s="100"/>
      <c r="H35" s="101">
        <f t="shared" ref="H35:Q35" si="20">SUM(H29:H34)</f>
        <v>545000</v>
      </c>
      <c r="I35" s="101">
        <f t="shared" si="20"/>
        <v>15641.5</v>
      </c>
      <c r="J35" s="101">
        <f t="shared" si="20"/>
        <v>16568</v>
      </c>
      <c r="K35" s="101">
        <f t="shared" si="20"/>
        <v>5759.34</v>
      </c>
      <c r="L35" s="101">
        <f t="shared" si="20"/>
        <v>37968.839999999997</v>
      </c>
      <c r="M35" s="101">
        <f t="shared" si="20"/>
        <v>507031.16000000003</v>
      </c>
      <c r="N35" s="101">
        <f t="shared" si="20"/>
        <v>58255.413750000007</v>
      </c>
      <c r="O35" s="101">
        <f t="shared" si="20"/>
        <v>0</v>
      </c>
      <c r="P35" s="101">
        <f t="shared" si="20"/>
        <v>31288.04</v>
      </c>
      <c r="Q35" s="101">
        <f t="shared" si="20"/>
        <v>127512.29375</v>
      </c>
      <c r="R35" s="101">
        <f>SUM(R29:R34)</f>
        <v>417487.70625000005</v>
      </c>
    </row>
    <row r="36" spans="1:18" s="111" customFormat="1" ht="39.950000000000003" customHeight="1" thickBot="1" x14ac:dyDescent="0.25">
      <c r="A36" s="169"/>
      <c r="B36" s="169"/>
      <c r="C36" s="169"/>
      <c r="D36" s="169"/>
      <c r="E36" s="169"/>
      <c r="F36" s="169"/>
      <c r="G36" s="169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</row>
    <row r="37" spans="1:18" s="170" customFormat="1" ht="39.950000000000003" customHeight="1" thickBot="1" x14ac:dyDescent="0.25">
      <c r="A37" s="150" t="s">
        <v>71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</row>
    <row r="38" spans="1:18" s="114" customFormat="1" ht="39.950000000000003" customHeight="1" x14ac:dyDescent="0.2">
      <c r="A38" s="152">
        <f>+A34+1</f>
        <v>18</v>
      </c>
      <c r="B38" s="164" t="s">
        <v>347</v>
      </c>
      <c r="C38" s="152" t="s">
        <v>339</v>
      </c>
      <c r="D38" s="107" t="s">
        <v>241</v>
      </c>
      <c r="E38" s="153" t="s">
        <v>180</v>
      </c>
      <c r="F38" s="153" t="s">
        <v>621</v>
      </c>
      <c r="G38" s="153" t="s">
        <v>654</v>
      </c>
      <c r="H38" s="116">
        <v>90000</v>
      </c>
      <c r="I38" s="116">
        <f>H38*2.87%</f>
        <v>2583</v>
      </c>
      <c r="J38" s="116">
        <f>+H38*3.04%</f>
        <v>2736</v>
      </c>
      <c r="K38" s="116"/>
      <c r="L38" s="116">
        <f>+J38+I38+K38</f>
        <v>5319</v>
      </c>
      <c r="M38" s="116">
        <f t="shared" ref="M38:M44" si="21">+H38-L38</f>
        <v>84681</v>
      </c>
      <c r="N38" s="116">
        <f t="shared" ref="N38:N44" si="22">+IF(M38*12&lt;=416220.01,0,IF(M38*12&lt;=624329.01,(((M38*12-416220.01)*0.15)/12),IF((M38*12&lt;=867123.01),(31216+0.2*(M38*12-624329.01))/12,((79776+0.25*(M38*12-867123.01))/12))))-O38</f>
        <v>9753.1872916666671</v>
      </c>
      <c r="O38" s="116"/>
      <c r="P38" s="160">
        <v>25</v>
      </c>
      <c r="Q38" s="116">
        <f>+P38+N38+L38</f>
        <v>15097.187291666667</v>
      </c>
      <c r="R38" s="155">
        <f t="shared" ref="R38:R44" si="23">+H38-Q38</f>
        <v>74902.812708333338</v>
      </c>
    </row>
    <row r="39" spans="1:18" s="114" customFormat="1" ht="39.950000000000003" customHeight="1" x14ac:dyDescent="0.2">
      <c r="A39" s="152">
        <f t="shared" ref="A39:A43" si="24">+A38+1</f>
        <v>19</v>
      </c>
      <c r="B39" s="164" t="s">
        <v>391</v>
      </c>
      <c r="C39" s="152" t="s">
        <v>339</v>
      </c>
      <c r="D39" s="107" t="s">
        <v>241</v>
      </c>
      <c r="E39" s="153" t="s">
        <v>180</v>
      </c>
      <c r="F39" s="154" t="s">
        <v>610</v>
      </c>
      <c r="G39" s="154" t="s">
        <v>643</v>
      </c>
      <c r="H39" s="116">
        <v>80000</v>
      </c>
      <c r="I39" s="116">
        <f>H39*2.87%</f>
        <v>2296</v>
      </c>
      <c r="J39" s="116">
        <f>+H39*3.04%</f>
        <v>2432</v>
      </c>
      <c r="K39" s="116"/>
      <c r="L39" s="116">
        <f>+J39+I39+K39</f>
        <v>4728</v>
      </c>
      <c r="M39" s="116">
        <f t="shared" si="21"/>
        <v>75272</v>
      </c>
      <c r="N39" s="116">
        <f t="shared" si="22"/>
        <v>7400.9372916666662</v>
      </c>
      <c r="O39" s="116">
        <v>0</v>
      </c>
      <c r="P39" s="160">
        <v>2790.29</v>
      </c>
      <c r="Q39" s="116">
        <f>+P39+N39+L39</f>
        <v>14919.227291666666</v>
      </c>
      <c r="R39" s="155">
        <f t="shared" si="23"/>
        <v>65080.77270833333</v>
      </c>
    </row>
    <row r="40" spans="1:18" s="114" customFormat="1" ht="39.950000000000003" customHeight="1" x14ac:dyDescent="0.2">
      <c r="A40" s="152">
        <f t="shared" si="24"/>
        <v>20</v>
      </c>
      <c r="B40" s="164" t="s">
        <v>475</v>
      </c>
      <c r="C40" s="152" t="s">
        <v>338</v>
      </c>
      <c r="D40" s="107" t="s">
        <v>241</v>
      </c>
      <c r="E40" s="153" t="s">
        <v>180</v>
      </c>
      <c r="F40" s="153" t="s">
        <v>599</v>
      </c>
      <c r="G40" s="153" t="s">
        <v>648</v>
      </c>
      <c r="H40" s="116">
        <v>80000</v>
      </c>
      <c r="I40" s="116">
        <f>H40*2.87%</f>
        <v>2296</v>
      </c>
      <c r="J40" s="116">
        <f>+H40*3.04%</f>
        <v>2432</v>
      </c>
      <c r="K40" s="116"/>
      <c r="L40" s="116">
        <f>+J40+I40+K40</f>
        <v>4728</v>
      </c>
      <c r="M40" s="116">
        <f t="shared" si="21"/>
        <v>75272</v>
      </c>
      <c r="N40" s="116">
        <f t="shared" si="22"/>
        <v>7400.9372916666662</v>
      </c>
      <c r="O40" s="116"/>
      <c r="P40" s="160">
        <v>65</v>
      </c>
      <c r="Q40" s="116">
        <f>+P40+N40+L40</f>
        <v>12193.937291666665</v>
      </c>
      <c r="R40" s="155">
        <f t="shared" si="23"/>
        <v>67806.062708333338</v>
      </c>
    </row>
    <row r="41" spans="1:18" s="170" customFormat="1" ht="39.950000000000003" customHeight="1" x14ac:dyDescent="0.2">
      <c r="A41" s="156">
        <f t="shared" si="24"/>
        <v>21</v>
      </c>
      <c r="B41" s="164" t="s">
        <v>458</v>
      </c>
      <c r="C41" s="134" t="s">
        <v>339</v>
      </c>
      <c r="D41" s="107" t="s">
        <v>241</v>
      </c>
      <c r="E41" s="153" t="s">
        <v>180</v>
      </c>
      <c r="F41" s="154" t="s">
        <v>610</v>
      </c>
      <c r="G41" s="154" t="s">
        <v>643</v>
      </c>
      <c r="H41" s="118">
        <v>80000</v>
      </c>
      <c r="I41" s="118">
        <f t="shared" ref="I41:I44" si="25">H41*2.87%</f>
        <v>2296</v>
      </c>
      <c r="J41" s="118">
        <f t="shared" ref="J41:J44" si="26">+H41*3.04%</f>
        <v>2432</v>
      </c>
      <c r="K41" s="118"/>
      <c r="L41" s="116">
        <f>+I41+J41+K41</f>
        <v>4728</v>
      </c>
      <c r="M41" s="116">
        <f t="shared" si="21"/>
        <v>75272</v>
      </c>
      <c r="N41" s="116">
        <f t="shared" si="22"/>
        <v>7400.9372916666662</v>
      </c>
      <c r="O41" s="116"/>
      <c r="P41" s="160">
        <v>8290.2900000000009</v>
      </c>
      <c r="Q41" s="118">
        <f>+P41+K41+J41+I41+N41</f>
        <v>20419.227291666666</v>
      </c>
      <c r="R41" s="155">
        <f t="shared" si="23"/>
        <v>59580.77270833333</v>
      </c>
    </row>
    <row r="42" spans="1:18" s="170" customFormat="1" ht="39.950000000000003" customHeight="1" x14ac:dyDescent="0.2">
      <c r="A42" s="156">
        <f t="shared" si="24"/>
        <v>22</v>
      </c>
      <c r="B42" s="164" t="s">
        <v>608</v>
      </c>
      <c r="C42" s="134" t="s">
        <v>339</v>
      </c>
      <c r="D42" s="107" t="s">
        <v>241</v>
      </c>
      <c r="E42" s="153" t="s">
        <v>180</v>
      </c>
      <c r="F42" s="154" t="s">
        <v>610</v>
      </c>
      <c r="G42" s="154" t="s">
        <v>643</v>
      </c>
      <c r="H42" s="118">
        <v>80000</v>
      </c>
      <c r="I42" s="118">
        <f t="shared" si="25"/>
        <v>2296</v>
      </c>
      <c r="J42" s="118">
        <f t="shared" si="26"/>
        <v>2432</v>
      </c>
      <c r="K42" s="118"/>
      <c r="L42" s="116">
        <f>+I42+J42+K42</f>
        <v>4728</v>
      </c>
      <c r="M42" s="116">
        <f t="shared" si="21"/>
        <v>75272</v>
      </c>
      <c r="N42" s="116">
        <f t="shared" si="22"/>
        <v>7400.9372916666662</v>
      </c>
      <c r="O42" s="116"/>
      <c r="P42" s="160">
        <v>25</v>
      </c>
      <c r="Q42" s="118">
        <f>+P42+K42+J42+I42+N42</f>
        <v>12153.937291666665</v>
      </c>
      <c r="R42" s="155">
        <f t="shared" si="23"/>
        <v>67846.062708333338</v>
      </c>
    </row>
    <row r="43" spans="1:18" s="170" customFormat="1" ht="39.950000000000003" customHeight="1" x14ac:dyDescent="0.2">
      <c r="A43" s="156">
        <f t="shared" si="24"/>
        <v>23</v>
      </c>
      <c r="B43" s="164" t="s">
        <v>609</v>
      </c>
      <c r="C43" s="134" t="s">
        <v>339</v>
      </c>
      <c r="D43" s="107" t="s">
        <v>241</v>
      </c>
      <c r="E43" s="153" t="s">
        <v>180</v>
      </c>
      <c r="F43" s="154" t="s">
        <v>610</v>
      </c>
      <c r="G43" s="154" t="s">
        <v>643</v>
      </c>
      <c r="H43" s="118">
        <v>80000</v>
      </c>
      <c r="I43" s="118">
        <f t="shared" si="25"/>
        <v>2296</v>
      </c>
      <c r="J43" s="118">
        <f t="shared" si="26"/>
        <v>2432</v>
      </c>
      <c r="K43" s="118"/>
      <c r="L43" s="116">
        <f>+I43+J43+K43</f>
        <v>4728</v>
      </c>
      <c r="M43" s="116">
        <f t="shared" si="21"/>
        <v>75272</v>
      </c>
      <c r="N43" s="116">
        <f t="shared" si="22"/>
        <v>7400.9372916666662</v>
      </c>
      <c r="O43" s="116"/>
      <c r="P43" s="160">
        <v>25</v>
      </c>
      <c r="Q43" s="118">
        <f>+P43+K43+J43+I43+N43</f>
        <v>12153.937291666665</v>
      </c>
      <c r="R43" s="155">
        <f t="shared" si="23"/>
        <v>67846.062708333338</v>
      </c>
    </row>
    <row r="44" spans="1:18" s="170" customFormat="1" ht="39.950000000000003" customHeight="1" x14ac:dyDescent="0.2">
      <c r="A44" s="156">
        <f>+A43+1</f>
        <v>24</v>
      </c>
      <c r="B44" s="164" t="s">
        <v>629</v>
      </c>
      <c r="C44" s="134" t="s">
        <v>339</v>
      </c>
      <c r="D44" s="107" t="s">
        <v>241</v>
      </c>
      <c r="E44" s="153" t="s">
        <v>180</v>
      </c>
      <c r="F44" s="329" t="s">
        <v>634</v>
      </c>
      <c r="G44" s="153" t="s">
        <v>632</v>
      </c>
      <c r="H44" s="118">
        <v>80000</v>
      </c>
      <c r="I44" s="118">
        <f t="shared" si="25"/>
        <v>2296</v>
      </c>
      <c r="J44" s="118">
        <f t="shared" si="26"/>
        <v>2432</v>
      </c>
      <c r="K44" s="118"/>
      <c r="L44" s="116">
        <f>+I44+J44+K44</f>
        <v>4728</v>
      </c>
      <c r="M44" s="116">
        <f t="shared" si="21"/>
        <v>75272</v>
      </c>
      <c r="N44" s="116">
        <f t="shared" si="22"/>
        <v>7400.9372916666662</v>
      </c>
      <c r="O44" s="116"/>
      <c r="P44" s="160">
        <v>25</v>
      </c>
      <c r="Q44" s="118">
        <f>+P44+K44+J44+I44+N44</f>
        <v>12153.937291666665</v>
      </c>
      <c r="R44" s="155">
        <f t="shared" si="23"/>
        <v>67846.062708333338</v>
      </c>
    </row>
    <row r="45" spans="1:18" s="111" customFormat="1" ht="39.950000000000003" customHeight="1" x14ac:dyDescent="0.2">
      <c r="A45" s="370" t="s">
        <v>100</v>
      </c>
      <c r="B45" s="371"/>
      <c r="C45" s="100"/>
      <c r="D45" s="100"/>
      <c r="E45" s="100"/>
      <c r="F45" s="100"/>
      <c r="G45" s="100"/>
      <c r="H45" s="101">
        <f>SUM(H38:H44)</f>
        <v>570000</v>
      </c>
      <c r="I45" s="101">
        <f t="shared" ref="I45:R45" si="27">SUM(I38:I44)</f>
        <v>16359</v>
      </c>
      <c r="J45" s="101">
        <f t="shared" si="27"/>
        <v>17328</v>
      </c>
      <c r="K45" s="101">
        <f t="shared" si="27"/>
        <v>0</v>
      </c>
      <c r="L45" s="101">
        <f t="shared" si="27"/>
        <v>33687</v>
      </c>
      <c r="M45" s="101">
        <f t="shared" si="27"/>
        <v>536313</v>
      </c>
      <c r="N45" s="101">
        <f t="shared" si="27"/>
        <v>54158.811041666668</v>
      </c>
      <c r="O45" s="101">
        <f t="shared" si="27"/>
        <v>0</v>
      </c>
      <c r="P45" s="101">
        <f>SUM(P38:P44)</f>
        <v>11245.580000000002</v>
      </c>
      <c r="Q45" s="101">
        <f t="shared" si="27"/>
        <v>99091.391041666648</v>
      </c>
      <c r="R45" s="101">
        <f t="shared" si="27"/>
        <v>470908.60895833338</v>
      </c>
    </row>
    <row r="46" spans="1:18" s="170" customFormat="1" ht="39.950000000000003" customHeight="1" thickBot="1" x14ac:dyDescent="0.25">
      <c r="A46" s="169"/>
      <c r="B46" s="169"/>
      <c r="C46" s="169"/>
      <c r="D46" s="169"/>
      <c r="E46" s="169"/>
      <c r="F46" s="169"/>
      <c r="G46" s="169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</row>
    <row r="47" spans="1:18" s="114" customFormat="1" ht="39.950000000000003" customHeight="1" thickBot="1" x14ac:dyDescent="0.25">
      <c r="A47" s="172" t="s">
        <v>149</v>
      </c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</row>
    <row r="48" spans="1:18" s="114" customFormat="1" ht="39.950000000000003" customHeight="1" x14ac:dyDescent="0.2">
      <c r="A48" s="152">
        <f>+A44+1</f>
        <v>25</v>
      </c>
      <c r="B48" s="164" t="s">
        <v>405</v>
      </c>
      <c r="C48" s="152" t="s">
        <v>339</v>
      </c>
      <c r="D48" s="153" t="s">
        <v>106</v>
      </c>
      <c r="E48" s="153" t="s">
        <v>180</v>
      </c>
      <c r="F48" s="167" t="s">
        <v>559</v>
      </c>
      <c r="G48" s="158" t="s">
        <v>636</v>
      </c>
      <c r="H48" s="105">
        <v>70000</v>
      </c>
      <c r="I48" s="105">
        <f>H48*2.87%</f>
        <v>2009</v>
      </c>
      <c r="J48" s="105">
        <f>+H48*3.04%</f>
        <v>2128</v>
      </c>
      <c r="K48" s="105"/>
      <c r="L48" s="116">
        <f>+J48+I48+K48</f>
        <v>4137</v>
      </c>
      <c r="M48" s="116">
        <f>+H48-L48</f>
        <v>65863</v>
      </c>
      <c r="N48" s="116">
        <f>+IF(M48*12&lt;=416220.01,0,IF(M48*12&lt;=624329.01,(((M48*12-416220.01)*0.15)/12),IF((M48*12&lt;=867123.01),(31216+0.2*(M48*12-624329.01))/12,((79776+0.25*(M48*12-867123.01))/12))))-O48</f>
        <v>5368.4498333333331</v>
      </c>
      <c r="O48" s="116"/>
      <c r="P48" s="163">
        <v>5176.41</v>
      </c>
      <c r="Q48" s="116">
        <f>+P48+N48+L48</f>
        <v>14681.859833333332</v>
      </c>
      <c r="R48" s="155">
        <f>+H48-Q48</f>
        <v>55318.140166666664</v>
      </c>
    </row>
    <row r="49" spans="1:18" s="111" customFormat="1" ht="39.950000000000003" customHeight="1" thickBot="1" x14ac:dyDescent="0.25">
      <c r="A49" s="370" t="s">
        <v>100</v>
      </c>
      <c r="B49" s="371"/>
      <c r="C49" s="183"/>
      <c r="D49" s="183"/>
      <c r="E49" s="183"/>
      <c r="F49" s="183"/>
      <c r="G49" s="184"/>
      <c r="H49" s="101">
        <f t="shared" ref="H49:R49" si="28">SUM(H48:H48)</f>
        <v>70000</v>
      </c>
      <c r="I49" s="101">
        <f t="shared" si="28"/>
        <v>2009</v>
      </c>
      <c r="J49" s="101">
        <f t="shared" si="28"/>
        <v>2128</v>
      </c>
      <c r="K49" s="101">
        <f t="shared" si="28"/>
        <v>0</v>
      </c>
      <c r="L49" s="101">
        <f t="shared" si="28"/>
        <v>4137</v>
      </c>
      <c r="M49" s="101">
        <f t="shared" si="28"/>
        <v>65863</v>
      </c>
      <c r="N49" s="101">
        <f t="shared" si="28"/>
        <v>5368.4498333333331</v>
      </c>
      <c r="O49" s="101">
        <f t="shared" si="28"/>
        <v>0</v>
      </c>
      <c r="P49" s="101">
        <f t="shared" si="28"/>
        <v>5176.41</v>
      </c>
      <c r="Q49" s="101">
        <f t="shared" si="28"/>
        <v>14681.859833333332</v>
      </c>
      <c r="R49" s="101">
        <f t="shared" si="28"/>
        <v>55318.140166666664</v>
      </c>
    </row>
    <row r="50" spans="1:18" s="111" customFormat="1" ht="39.950000000000003" customHeight="1" thickBot="1" x14ac:dyDescent="0.25">
      <c r="A50" s="172" t="s">
        <v>124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</row>
    <row r="51" spans="1:18" s="170" customFormat="1" ht="39.950000000000003" customHeight="1" x14ac:dyDescent="0.2">
      <c r="A51" s="156">
        <f>+A48+1</f>
        <v>26</v>
      </c>
      <c r="B51" s="164" t="s">
        <v>181</v>
      </c>
      <c r="C51" s="134" t="s">
        <v>339</v>
      </c>
      <c r="D51" s="107" t="s">
        <v>582</v>
      </c>
      <c r="E51" s="153" t="s">
        <v>180</v>
      </c>
      <c r="F51" s="158" t="s">
        <v>637</v>
      </c>
      <c r="G51" s="158" t="s">
        <v>636</v>
      </c>
      <c r="H51" s="118">
        <v>85000</v>
      </c>
      <c r="I51" s="118">
        <f>H51*2.87%</f>
        <v>2439.5</v>
      </c>
      <c r="J51" s="118">
        <f>+H51*3.04%</f>
        <v>2584</v>
      </c>
      <c r="K51" s="118"/>
      <c r="L51" s="116">
        <f>+J51+I51+K51</f>
        <v>5023.5</v>
      </c>
      <c r="M51" s="116">
        <f>+H51-L51</f>
        <v>79976.5</v>
      </c>
      <c r="N51" s="116">
        <f>+IF(M51*12&lt;=416220.01,0,IF(M51*12&lt;=624329.01,(((M51*12-416220.01)*0.15)/12),IF((M51*12&lt;=867123.01),(31216+0.2*(M51*12-624329.01))/12,((79776+0.25*(M51*12-867123.01))/12))))-O51</f>
        <v>8577.0622916666671</v>
      </c>
      <c r="O51" s="116"/>
      <c r="P51" s="155">
        <v>3952.08</v>
      </c>
      <c r="Q51" s="118">
        <f>+P51+N51+L51</f>
        <v>17552.642291666667</v>
      </c>
      <c r="R51" s="155">
        <f>+H51-Q51</f>
        <v>67447.357708333337</v>
      </c>
    </row>
    <row r="52" spans="1:18" s="170" customFormat="1" ht="39.950000000000003" customHeight="1" x14ac:dyDescent="0.2">
      <c r="A52" s="156">
        <f>+A51+1</f>
        <v>27</v>
      </c>
      <c r="B52" s="164" t="s">
        <v>515</v>
      </c>
      <c r="C52" s="134" t="s">
        <v>338</v>
      </c>
      <c r="D52" s="107" t="s">
        <v>589</v>
      </c>
      <c r="E52" s="153" t="s">
        <v>180</v>
      </c>
      <c r="F52" s="153" t="s">
        <v>576</v>
      </c>
      <c r="G52" s="153" t="s">
        <v>620</v>
      </c>
      <c r="H52" s="118">
        <v>80000</v>
      </c>
      <c r="I52" s="118">
        <f>H52*2.87%</f>
        <v>2296</v>
      </c>
      <c r="J52" s="118">
        <f>+H52*3.04%</f>
        <v>2432</v>
      </c>
      <c r="K52" s="118"/>
      <c r="L52" s="116">
        <f>+J52+I52+K52</f>
        <v>4728</v>
      </c>
      <c r="M52" s="116">
        <f>+H52-L52</f>
        <v>75272</v>
      </c>
      <c r="N52" s="116">
        <f>+IF(M52*12&lt;=416220.01,0,IF(M52*12&lt;=624329.01,(((M52*12-416220.01)*0.15)/12),IF((M52*12&lt;=867123.01),(31216+0.2*(M52*12-624329.01))/12,((79776+0.25*(M52*12-867123.01))/12))))-O52</f>
        <v>7400.9372916666662</v>
      </c>
      <c r="O52" s="116"/>
      <c r="P52" s="155">
        <f>125+100</f>
        <v>225</v>
      </c>
      <c r="Q52" s="118">
        <f>+P52+N52+L52</f>
        <v>12353.937291666665</v>
      </c>
      <c r="R52" s="155">
        <f>+H52-Q52</f>
        <v>67646.062708333338</v>
      </c>
    </row>
    <row r="53" spans="1:18" s="114" customFormat="1" ht="39.950000000000003" customHeight="1" x14ac:dyDescent="0.2">
      <c r="A53" s="370" t="s">
        <v>100</v>
      </c>
      <c r="B53" s="371"/>
      <c r="C53" s="100"/>
      <c r="D53" s="100"/>
      <c r="E53" s="100"/>
      <c r="F53" s="100"/>
      <c r="G53" s="100"/>
      <c r="H53" s="101">
        <f>SUM(H51:H52)</f>
        <v>165000</v>
      </c>
      <c r="I53" s="101">
        <f t="shared" ref="I53:R53" si="29">SUM(I51:I52)</f>
        <v>4735.5</v>
      </c>
      <c r="J53" s="101">
        <f t="shared" si="29"/>
        <v>5016</v>
      </c>
      <c r="K53" s="101">
        <f t="shared" si="29"/>
        <v>0</v>
      </c>
      <c r="L53" s="101">
        <f t="shared" si="29"/>
        <v>9751.5</v>
      </c>
      <c r="M53" s="101">
        <f t="shared" si="29"/>
        <v>155248.5</v>
      </c>
      <c r="N53" s="101">
        <f t="shared" si="29"/>
        <v>15977.999583333334</v>
      </c>
      <c r="O53" s="101">
        <f t="shared" si="29"/>
        <v>0</v>
      </c>
      <c r="P53" s="101">
        <f t="shared" si="29"/>
        <v>4177.08</v>
      </c>
      <c r="Q53" s="101">
        <f t="shared" si="29"/>
        <v>29906.579583333332</v>
      </c>
      <c r="R53" s="101">
        <f t="shared" si="29"/>
        <v>135093.42041666666</v>
      </c>
    </row>
    <row r="54" spans="1:18" s="114" customFormat="1" ht="39.950000000000003" customHeight="1" thickBot="1" x14ac:dyDescent="0.25">
      <c r="A54" s="169"/>
      <c r="B54" s="169"/>
      <c r="C54" s="169"/>
      <c r="D54" s="169"/>
      <c r="E54" s="169"/>
      <c r="F54" s="169"/>
      <c r="G54" s="169"/>
    </row>
    <row r="55" spans="1:18" s="114" customFormat="1" ht="39.950000000000003" customHeight="1" thickBot="1" x14ac:dyDescent="0.25">
      <c r="A55" s="172" t="s">
        <v>125</v>
      </c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</row>
    <row r="56" spans="1:18" s="114" customFormat="1" ht="39.950000000000003" customHeight="1" x14ac:dyDescent="0.2">
      <c r="A56" s="309">
        <f>+A52+1</f>
        <v>28</v>
      </c>
      <c r="B56" s="140" t="s">
        <v>346</v>
      </c>
      <c r="C56" s="135" t="s">
        <v>339</v>
      </c>
      <c r="D56" s="153" t="s">
        <v>656</v>
      </c>
      <c r="E56" s="153" t="s">
        <v>180</v>
      </c>
      <c r="F56" s="153" t="s">
        <v>621</v>
      </c>
      <c r="G56" s="153" t="s">
        <v>654</v>
      </c>
      <c r="H56" s="117">
        <v>155000</v>
      </c>
      <c r="I56" s="116">
        <f>H56*2.87%</f>
        <v>4448.5</v>
      </c>
      <c r="J56" s="118">
        <f>+H56*3.04%</f>
        <v>4712</v>
      </c>
      <c r="K56" s="118"/>
      <c r="L56" s="118">
        <f>+J56+I56+K56</f>
        <v>9160.5</v>
      </c>
      <c r="M56" s="116">
        <f>+H56-L56</f>
        <v>145839.5</v>
      </c>
      <c r="N56" s="116">
        <f>+IF(M56*12&lt;=416220.01,0,IF(M56*12&lt;=624329.01,(((M56*12-416220.01)*0.15)/12),IF((M56*12&lt;=867123.01),(31216+0.2*(M56*12-624329.01))/12,((79776+0.25*(M56*12-867123.01))/12))))</f>
        <v>25042.812291666665</v>
      </c>
      <c r="O56" s="116"/>
      <c r="P56" s="160">
        <f>125+100</f>
        <v>225</v>
      </c>
      <c r="Q56" s="116">
        <f>+P56+N56+L56</f>
        <v>34428.312291666662</v>
      </c>
      <c r="R56" s="160">
        <f>+H56-Q56</f>
        <v>120571.68770833334</v>
      </c>
    </row>
    <row r="57" spans="1:18" s="114" customFormat="1" ht="39.950000000000003" customHeight="1" x14ac:dyDescent="0.2">
      <c r="A57" s="309">
        <f>+A56+1</f>
        <v>29</v>
      </c>
      <c r="B57" s="322" t="s">
        <v>587</v>
      </c>
      <c r="C57" s="135" t="s">
        <v>339</v>
      </c>
      <c r="D57" s="153" t="s">
        <v>589</v>
      </c>
      <c r="E57" s="107" t="s">
        <v>180</v>
      </c>
      <c r="F57" s="153" t="s">
        <v>588</v>
      </c>
      <c r="G57" s="153" t="s">
        <v>632</v>
      </c>
      <c r="H57" s="160">
        <v>80000</v>
      </c>
      <c r="I57" s="118">
        <f>H57*2.87%</f>
        <v>2296</v>
      </c>
      <c r="J57" s="118">
        <f>+H57*3.04%</f>
        <v>2432</v>
      </c>
      <c r="K57" s="118"/>
      <c r="L57" s="116">
        <f>+J57+I57+K57</f>
        <v>4728</v>
      </c>
      <c r="M57" s="116">
        <f>+H57-L57</f>
        <v>75272</v>
      </c>
      <c r="N57" s="116">
        <f t="shared" ref="N57" si="30">+IF(M57*12&lt;=416220.01,0,IF(M57*12&lt;=624329.01,(((M57*12-416220.01)*0.15)/12),IF((M57*12&lt;=867123.01),(31216+0.2*(M57*12-624329.01))/12,((79776+0.25*(M57*12-867123.01))/12))))</f>
        <v>7400.9372916666662</v>
      </c>
      <c r="O57" s="116"/>
      <c r="P57" s="155">
        <v>25</v>
      </c>
      <c r="Q57" s="116">
        <f>+P57+N57+L57</f>
        <v>12153.937291666665</v>
      </c>
      <c r="R57" s="155">
        <f>+H57-Q57</f>
        <v>67846.062708333338</v>
      </c>
    </row>
    <row r="58" spans="1:18" s="114" customFormat="1" ht="39.950000000000003" customHeight="1" x14ac:dyDescent="0.2">
      <c r="A58" s="370" t="s">
        <v>100</v>
      </c>
      <c r="B58" s="371"/>
      <c r="C58" s="100"/>
      <c r="D58" s="100"/>
      <c r="E58" s="100"/>
      <c r="F58" s="100"/>
      <c r="G58" s="100"/>
      <c r="H58" s="101">
        <f t="shared" ref="H58:R58" si="31">SUM(H56:H57)</f>
        <v>235000</v>
      </c>
      <c r="I58" s="101">
        <f t="shared" si="31"/>
        <v>6744.5</v>
      </c>
      <c r="J58" s="101">
        <f t="shared" si="31"/>
        <v>7144</v>
      </c>
      <c r="K58" s="101">
        <f t="shared" si="31"/>
        <v>0</v>
      </c>
      <c r="L58" s="101">
        <f t="shared" si="31"/>
        <v>13888.5</v>
      </c>
      <c r="M58" s="101">
        <f t="shared" si="31"/>
        <v>221111.5</v>
      </c>
      <c r="N58" s="101">
        <f t="shared" si="31"/>
        <v>32443.749583333331</v>
      </c>
      <c r="O58" s="101">
        <f t="shared" si="31"/>
        <v>0</v>
      </c>
      <c r="P58" s="101">
        <f t="shared" si="31"/>
        <v>250</v>
      </c>
      <c r="Q58" s="101">
        <f t="shared" si="31"/>
        <v>46582.249583333323</v>
      </c>
      <c r="R58" s="101">
        <f t="shared" si="31"/>
        <v>188417.75041666668</v>
      </c>
    </row>
    <row r="59" spans="1:18" s="114" customFormat="1" ht="39.950000000000003" customHeight="1" thickBot="1" x14ac:dyDescent="0.25">
      <c r="A59" s="169"/>
      <c r="B59" s="169"/>
      <c r="C59" s="169"/>
      <c r="D59" s="169"/>
      <c r="E59" s="169"/>
      <c r="F59" s="169"/>
      <c r="G59" s="169"/>
    </row>
    <row r="60" spans="1:18" s="114" customFormat="1" ht="39.950000000000003" customHeight="1" thickBot="1" x14ac:dyDescent="0.25">
      <c r="A60" s="150" t="s">
        <v>126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</row>
    <row r="61" spans="1:18" s="114" customFormat="1" ht="39.950000000000003" customHeight="1" x14ac:dyDescent="0.2">
      <c r="A61" s="176">
        <f>+A57+1</f>
        <v>30</v>
      </c>
      <c r="B61" s="177" t="s">
        <v>470</v>
      </c>
      <c r="C61" s="129" t="s">
        <v>338</v>
      </c>
      <c r="D61" s="175" t="s">
        <v>582</v>
      </c>
      <c r="E61" s="102" t="s">
        <v>180</v>
      </c>
      <c r="F61" s="153" t="s">
        <v>599</v>
      </c>
      <c r="G61" s="153" t="s">
        <v>648</v>
      </c>
      <c r="H61" s="155">
        <v>80000</v>
      </c>
      <c r="I61" s="116">
        <f>H61*2.87%</f>
        <v>2296</v>
      </c>
      <c r="J61" s="116">
        <f>+H61*3.04%</f>
        <v>2432</v>
      </c>
      <c r="K61" s="116"/>
      <c r="L61" s="116">
        <f>+J61+I61+K61</f>
        <v>4728</v>
      </c>
      <c r="M61" s="116">
        <f>+H61-L61</f>
        <v>75272</v>
      </c>
      <c r="N61" s="116">
        <f>+IF(M62*12&lt;=416220.01,0,IF(M61*12&lt;=624329.01,(((M61*12-416220.01)*0.15)/12),IF((M61*12&lt;=867123.01),(31216+0.2*(M61*12-624329.01))/12,((79776+0.25*(M61*12-867123.01))/12))))-O61</f>
        <v>7400.9372916666662</v>
      </c>
      <c r="O61" s="116"/>
      <c r="P61" s="160">
        <v>15290.29</v>
      </c>
      <c r="Q61" s="116">
        <f>+P61+N61+L61</f>
        <v>27419.227291666666</v>
      </c>
      <c r="R61" s="160">
        <f>+H61-Q61</f>
        <v>52580.77270833333</v>
      </c>
    </row>
    <row r="62" spans="1:18" s="114" customFormat="1" ht="39.950000000000003" customHeight="1" thickBot="1" x14ac:dyDescent="0.25">
      <c r="A62" s="370" t="s">
        <v>100</v>
      </c>
      <c r="B62" s="371"/>
      <c r="C62" s="100"/>
      <c r="D62" s="100"/>
      <c r="E62" s="100"/>
      <c r="F62" s="100"/>
      <c r="G62" s="100"/>
      <c r="H62" s="101">
        <f>SUM(H61)</f>
        <v>80000</v>
      </c>
      <c r="I62" s="101">
        <f t="shared" ref="I62:R62" si="32">SUM(I61)</f>
        <v>2296</v>
      </c>
      <c r="J62" s="101">
        <f t="shared" si="32"/>
        <v>2432</v>
      </c>
      <c r="K62" s="101">
        <f t="shared" si="32"/>
        <v>0</v>
      </c>
      <c r="L62" s="101">
        <f t="shared" si="32"/>
        <v>4728</v>
      </c>
      <c r="M62" s="101">
        <f t="shared" si="32"/>
        <v>75272</v>
      </c>
      <c r="N62" s="101">
        <f t="shared" si="32"/>
        <v>7400.9372916666662</v>
      </c>
      <c r="O62" s="101">
        <f t="shared" si="32"/>
        <v>0</v>
      </c>
      <c r="P62" s="101">
        <f t="shared" si="32"/>
        <v>15290.29</v>
      </c>
      <c r="Q62" s="101">
        <f t="shared" si="32"/>
        <v>27419.227291666666</v>
      </c>
      <c r="R62" s="101">
        <f t="shared" si="32"/>
        <v>52580.77270833333</v>
      </c>
    </row>
    <row r="63" spans="1:18" s="114" customFormat="1" ht="39.950000000000003" customHeight="1" thickBot="1" x14ac:dyDescent="0.25">
      <c r="A63" s="150" t="s">
        <v>127</v>
      </c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</row>
    <row r="64" spans="1:18" s="114" customFormat="1" ht="39.950000000000003" customHeight="1" x14ac:dyDescent="0.2">
      <c r="A64" s="176">
        <f>+A61+1</f>
        <v>31</v>
      </c>
      <c r="B64" s="177" t="s">
        <v>103</v>
      </c>
      <c r="C64" s="129" t="s">
        <v>338</v>
      </c>
      <c r="D64" s="175" t="s">
        <v>589</v>
      </c>
      <c r="E64" s="102" t="s">
        <v>180</v>
      </c>
      <c r="F64" s="153" t="s">
        <v>621</v>
      </c>
      <c r="G64" s="153" t="s">
        <v>654</v>
      </c>
      <c r="H64" s="155">
        <v>90000</v>
      </c>
      <c r="I64" s="116">
        <f>H64*2.87%</f>
        <v>2583</v>
      </c>
      <c r="J64" s="116">
        <f>+H64*3.04%</f>
        <v>2736</v>
      </c>
      <c r="K64" s="116"/>
      <c r="L64" s="116">
        <f>+J64+I64+K64</f>
        <v>5319</v>
      </c>
      <c r="M64" s="116">
        <f>+H64-L64</f>
        <v>84681</v>
      </c>
      <c r="N64" s="116">
        <f>+IF(M64*12&lt;=416220.01,0,IF(M64*12&lt;=624329.01,(((M64*12-416220.01)*0.15)/12),IF((M64*12&lt;=867123.01),(31216+0.2*(M64*12-624329.01))/12,((79776+0.25*(M64*12-867123.01))/12))))-O64</f>
        <v>9753.1872916666671</v>
      </c>
      <c r="O64" s="116"/>
      <c r="P64" s="160">
        <v>25</v>
      </c>
      <c r="Q64" s="116">
        <f>+P64+N64+L64</f>
        <v>15097.187291666667</v>
      </c>
      <c r="R64" s="160">
        <f>+H64-Q64</f>
        <v>74902.812708333338</v>
      </c>
    </row>
    <row r="65" spans="1:18" s="114" customFormat="1" ht="39.950000000000003" customHeight="1" x14ac:dyDescent="0.2">
      <c r="A65" s="176">
        <f>+A64+1</f>
        <v>32</v>
      </c>
      <c r="B65" s="177" t="s">
        <v>494</v>
      </c>
      <c r="C65" s="129" t="s">
        <v>338</v>
      </c>
      <c r="D65" s="175" t="s">
        <v>582</v>
      </c>
      <c r="E65" s="102" t="s">
        <v>180</v>
      </c>
      <c r="F65" s="153" t="s">
        <v>621</v>
      </c>
      <c r="G65" s="153" t="s">
        <v>654</v>
      </c>
      <c r="H65" s="155">
        <v>80000</v>
      </c>
      <c r="I65" s="118">
        <f>H65*2.87%</f>
        <v>2296</v>
      </c>
      <c r="J65" s="118">
        <f>+H65*3.04%</f>
        <v>2432</v>
      </c>
      <c r="K65" s="118">
        <f>1919.78*2</f>
        <v>3839.56</v>
      </c>
      <c r="L65" s="118">
        <f>+J65+I65+K65</f>
        <v>8567.56</v>
      </c>
      <c r="M65" s="116">
        <f>+H65-L65</f>
        <v>71432.44</v>
      </c>
      <c r="N65" s="116">
        <f>+IF(M65*12&lt;=416220.01,0,IF(M65*12&lt;=624329.01,(((M65*12-416220.01)*0.15)/12),IF((M65*12&lt;=867123.01),(31216+0.2*(M65*12-624329.01))/12,((79776+0.25*(M65*12-867123.01))/12))))-O65</f>
        <v>6482.3378333333339</v>
      </c>
      <c r="O65" s="116"/>
      <c r="P65" s="160">
        <v>5860.65</v>
      </c>
      <c r="Q65" s="116">
        <f>+P65+N65+L65</f>
        <v>20910.54783333333</v>
      </c>
      <c r="R65" s="155">
        <f>+H65-Q65</f>
        <v>59089.45216666667</v>
      </c>
    </row>
    <row r="66" spans="1:18" s="114" customFormat="1" ht="39.950000000000003" customHeight="1" x14ac:dyDescent="0.2">
      <c r="A66" s="370" t="s">
        <v>100</v>
      </c>
      <c r="B66" s="371"/>
      <c r="C66" s="100"/>
      <c r="D66" s="100"/>
      <c r="E66" s="100"/>
      <c r="F66" s="100"/>
      <c r="G66" s="100"/>
      <c r="H66" s="101">
        <f>SUM(H64:H65)</f>
        <v>170000</v>
      </c>
      <c r="I66" s="101">
        <f t="shared" ref="I66:R66" si="33">SUM(I64:I65)</f>
        <v>4879</v>
      </c>
      <c r="J66" s="101">
        <f t="shared" si="33"/>
        <v>5168</v>
      </c>
      <c r="K66" s="101">
        <f t="shared" si="33"/>
        <v>3839.56</v>
      </c>
      <c r="L66" s="101">
        <f t="shared" si="33"/>
        <v>13886.56</v>
      </c>
      <c r="M66" s="101">
        <f t="shared" si="33"/>
        <v>156113.44</v>
      </c>
      <c r="N66" s="101">
        <f t="shared" si="33"/>
        <v>16235.525125</v>
      </c>
      <c r="O66" s="101">
        <f t="shared" si="33"/>
        <v>0</v>
      </c>
      <c r="P66" s="101">
        <f t="shared" si="33"/>
        <v>5885.65</v>
      </c>
      <c r="Q66" s="101">
        <f t="shared" si="33"/>
        <v>36007.735124999999</v>
      </c>
      <c r="R66" s="101">
        <f t="shared" si="33"/>
        <v>133992.26487499999</v>
      </c>
    </row>
    <row r="67" spans="1:18" s="114" customFormat="1" ht="39.950000000000003" customHeight="1" thickBot="1" x14ac:dyDescent="0.25">
      <c r="A67" s="169"/>
      <c r="B67" s="169"/>
      <c r="C67" s="169"/>
      <c r="D67" s="169"/>
      <c r="E67" s="169"/>
      <c r="F67" s="169"/>
      <c r="G67" s="169"/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111" customFormat="1" ht="39.950000000000003" customHeight="1" thickBot="1" x14ac:dyDescent="0.25">
      <c r="A68" s="150" t="s">
        <v>128</v>
      </c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</row>
    <row r="69" spans="1:18" s="115" customFormat="1" ht="39.950000000000003" customHeight="1" x14ac:dyDescent="0.2">
      <c r="A69" s="176">
        <f>+A65+1</f>
        <v>33</v>
      </c>
      <c r="B69" s="105" t="s">
        <v>512</v>
      </c>
      <c r="C69" s="130" t="s">
        <v>338</v>
      </c>
      <c r="D69" s="153" t="s">
        <v>582</v>
      </c>
      <c r="E69" s="153" t="s">
        <v>180</v>
      </c>
      <c r="F69" s="153" t="s">
        <v>588</v>
      </c>
      <c r="G69" s="153" t="s">
        <v>632</v>
      </c>
      <c r="H69" s="160">
        <v>80000</v>
      </c>
      <c r="I69" s="116">
        <f>H69*2.87%</f>
        <v>2296</v>
      </c>
      <c r="J69" s="116">
        <f>+H69*3.04%</f>
        <v>2432</v>
      </c>
      <c r="K69" s="116"/>
      <c r="L69" s="116">
        <f>+J69+I69+K69</f>
        <v>4728</v>
      </c>
      <c r="M69" s="116">
        <f>+H69-L69</f>
        <v>75272</v>
      </c>
      <c r="N69" s="116">
        <f>+IF(M69*12&lt;=416220.01,0,IF(M69*12&lt;=624329.01,(((M69*12-416220.01)*0.15)/12),IF((M69*12&lt;=867123.01),(31216+0.2*(M69*12-624329.01))/12,((79776+0.25*(M69*12-867123.01))/12))))-O69</f>
        <v>7400.9372916666662</v>
      </c>
      <c r="O69" s="116"/>
      <c r="P69" s="155">
        <v>25</v>
      </c>
      <c r="Q69" s="116">
        <f>+P69+N69+L69</f>
        <v>12153.937291666665</v>
      </c>
      <c r="R69" s="160">
        <f>+H69-Q69</f>
        <v>67846.062708333338</v>
      </c>
    </row>
    <row r="70" spans="1:18" s="115" customFormat="1" ht="39.950000000000003" customHeight="1" x14ac:dyDescent="0.2">
      <c r="A70" s="370" t="s">
        <v>100</v>
      </c>
      <c r="B70" s="371"/>
      <c r="C70" s="100"/>
      <c r="D70" s="100"/>
      <c r="E70" s="100"/>
      <c r="F70" s="100"/>
      <c r="G70" s="100"/>
      <c r="H70" s="101">
        <f t="shared" ref="H70:R70" si="34">SUM(H69:H69)</f>
        <v>80000</v>
      </c>
      <c r="I70" s="101">
        <f t="shared" si="34"/>
        <v>2296</v>
      </c>
      <c r="J70" s="101">
        <f t="shared" si="34"/>
        <v>2432</v>
      </c>
      <c r="K70" s="101">
        <f t="shared" si="34"/>
        <v>0</v>
      </c>
      <c r="L70" s="101">
        <f t="shared" si="34"/>
        <v>4728</v>
      </c>
      <c r="M70" s="101">
        <f t="shared" si="34"/>
        <v>75272</v>
      </c>
      <c r="N70" s="101">
        <f t="shared" si="34"/>
        <v>7400.9372916666662</v>
      </c>
      <c r="O70" s="101">
        <f t="shared" si="34"/>
        <v>0</v>
      </c>
      <c r="P70" s="101">
        <f t="shared" si="34"/>
        <v>25</v>
      </c>
      <c r="Q70" s="101">
        <f t="shared" si="34"/>
        <v>12153.937291666665</v>
      </c>
      <c r="R70" s="101">
        <f t="shared" si="34"/>
        <v>67846.062708333338</v>
      </c>
    </row>
    <row r="71" spans="1:18" s="115" customFormat="1" ht="39.950000000000003" customHeight="1" thickBot="1" x14ac:dyDescent="0.25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</row>
    <row r="72" spans="1:18" s="115" customFormat="1" ht="39.950000000000003" customHeight="1" thickBot="1" x14ac:dyDescent="0.25">
      <c r="A72" s="150" t="s">
        <v>388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</row>
    <row r="73" spans="1:18" s="111" customFormat="1" ht="39.950000000000003" customHeight="1" x14ac:dyDescent="0.2">
      <c r="A73" s="176">
        <f>+A69+1</f>
        <v>34</v>
      </c>
      <c r="B73" s="105" t="s">
        <v>387</v>
      </c>
      <c r="C73" s="130" t="s">
        <v>339</v>
      </c>
      <c r="D73" s="153" t="s">
        <v>582</v>
      </c>
      <c r="E73" s="153" t="s">
        <v>180</v>
      </c>
      <c r="F73" s="153" t="s">
        <v>621</v>
      </c>
      <c r="G73" s="153" t="s">
        <v>654</v>
      </c>
      <c r="H73" s="160">
        <v>80000</v>
      </c>
      <c r="I73" s="116">
        <f>H73*2.87%</f>
        <v>2296</v>
      </c>
      <c r="J73" s="116">
        <f>+H73*3.04%</f>
        <v>2432</v>
      </c>
      <c r="K73" s="116"/>
      <c r="L73" s="116">
        <f>+J73+I73+K73</f>
        <v>4728</v>
      </c>
      <c r="M73" s="116">
        <f>+H73-L73</f>
        <v>75272</v>
      </c>
      <c r="N73" s="116">
        <f>+IF(M73*12&lt;=416220.01,0,IF(M73*12&lt;=624329.01,(((M73*12-416220.01)*0.15)/12),IF((M73*12&lt;=867123.01),(31216+0.2*(M73*12-624329.01))/12,((79776+0.25*(M73*12-867123.01))/12))))-O73</f>
        <v>7400.9372916666662</v>
      </c>
      <c r="O73" s="116">
        <v>0</v>
      </c>
      <c r="P73" s="155">
        <v>8453.69</v>
      </c>
      <c r="Q73" s="116">
        <f>+P73+N73+L73</f>
        <v>20582.627291666668</v>
      </c>
      <c r="R73" s="160">
        <f>+H73-Q73</f>
        <v>59417.372708333336</v>
      </c>
    </row>
    <row r="74" spans="1:18" s="114" customFormat="1" ht="39.950000000000003" customHeight="1" x14ac:dyDescent="0.2">
      <c r="A74" s="370" t="s">
        <v>100</v>
      </c>
      <c r="B74" s="371"/>
      <c r="C74" s="100"/>
      <c r="D74" s="100"/>
      <c r="E74" s="100"/>
      <c r="F74" s="100"/>
      <c r="G74" s="100"/>
      <c r="H74" s="101">
        <f>+H73</f>
        <v>80000</v>
      </c>
      <c r="I74" s="101">
        <f>+I73</f>
        <v>2296</v>
      </c>
      <c r="J74" s="101">
        <f>+J73</f>
        <v>2432</v>
      </c>
      <c r="K74" s="101">
        <f t="shared" ref="K74:R74" si="35">+K73</f>
        <v>0</v>
      </c>
      <c r="L74" s="101">
        <f>+L73</f>
        <v>4728</v>
      </c>
      <c r="M74" s="101">
        <f>+M73</f>
        <v>75272</v>
      </c>
      <c r="N74" s="101">
        <f>+N73</f>
        <v>7400.9372916666662</v>
      </c>
      <c r="O74" s="101">
        <f t="shared" si="35"/>
        <v>0</v>
      </c>
      <c r="P74" s="101">
        <f>+P73</f>
        <v>8453.69</v>
      </c>
      <c r="Q74" s="101">
        <f t="shared" si="35"/>
        <v>20582.627291666668</v>
      </c>
      <c r="R74" s="101">
        <f t="shared" si="35"/>
        <v>59417.372708333336</v>
      </c>
    </row>
    <row r="75" spans="1:18" s="170" customFormat="1" ht="39.950000000000003" customHeight="1" thickBot="1" x14ac:dyDescent="0.25">
      <c r="A75" s="169"/>
      <c r="B75" s="169"/>
      <c r="C75" s="169"/>
      <c r="D75" s="169"/>
      <c r="E75" s="169"/>
      <c r="F75" s="169"/>
      <c r="G75" s="169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</row>
    <row r="76" spans="1:18" s="170" customFormat="1" ht="39.950000000000003" customHeight="1" thickBot="1" x14ac:dyDescent="0.25">
      <c r="A76" s="150" t="s">
        <v>163</v>
      </c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</row>
    <row r="77" spans="1:18" s="114" customFormat="1" ht="39.950000000000003" customHeight="1" x14ac:dyDescent="0.2">
      <c r="A77" s="176">
        <f>+A73+1</f>
        <v>35</v>
      </c>
      <c r="B77" s="177" t="s">
        <v>306</v>
      </c>
      <c r="C77" s="129" t="s">
        <v>339</v>
      </c>
      <c r="D77" s="175" t="s">
        <v>582</v>
      </c>
      <c r="E77" s="102" t="s">
        <v>180</v>
      </c>
      <c r="F77" s="153" t="s">
        <v>588</v>
      </c>
      <c r="G77" s="153" t="s">
        <v>632</v>
      </c>
      <c r="H77" s="155">
        <v>90000</v>
      </c>
      <c r="I77" s="118">
        <f>H77*2.87%</f>
        <v>2583</v>
      </c>
      <c r="J77" s="118">
        <f>+H77*3.04%</f>
        <v>2736</v>
      </c>
      <c r="K77" s="118">
        <v>1919.78</v>
      </c>
      <c r="L77" s="118">
        <f>+J77+I77+K77</f>
        <v>7238.78</v>
      </c>
      <c r="M77" s="118">
        <f>+H77-L77</f>
        <v>82761.22</v>
      </c>
      <c r="N77" s="116">
        <f>+IF(M78*12&lt;=416220.01,0,IF(M77*12&lt;=624329.01,(((M77*12-416220.01)*0.15)/12),IF((M77*12&lt;=867123.01),(31216+0.2*(M77*12-624329.01))/12,((79776+0.25*(M77*12-867123.01))/12))))-O77</f>
        <v>9273.2422916666674</v>
      </c>
      <c r="O77" s="118"/>
      <c r="P77" s="155">
        <v>3290.29</v>
      </c>
      <c r="Q77" s="116">
        <f>+P77+N77+L77</f>
        <v>19802.312291666665</v>
      </c>
      <c r="R77" s="155">
        <f>+H77-Q77</f>
        <v>70197.687708333338</v>
      </c>
    </row>
    <row r="78" spans="1:18" s="114" customFormat="1" ht="39.950000000000003" customHeight="1" x14ac:dyDescent="0.2">
      <c r="A78" s="176">
        <f>+A77+1</f>
        <v>36</v>
      </c>
      <c r="B78" s="177" t="s">
        <v>389</v>
      </c>
      <c r="C78" s="129" t="s">
        <v>339</v>
      </c>
      <c r="D78" s="175" t="s">
        <v>582</v>
      </c>
      <c r="E78" s="102" t="s">
        <v>180</v>
      </c>
      <c r="F78" s="153" t="s">
        <v>621</v>
      </c>
      <c r="G78" s="153" t="s">
        <v>654</v>
      </c>
      <c r="H78" s="155">
        <v>90000</v>
      </c>
      <c r="I78" s="118">
        <f>H78*2.87%</f>
        <v>2583</v>
      </c>
      <c r="J78" s="118">
        <f>+H78*3.04%</f>
        <v>2736</v>
      </c>
      <c r="K78" s="118">
        <v>1919.78</v>
      </c>
      <c r="L78" s="116">
        <f>+J78+I78+K78</f>
        <v>7238.78</v>
      </c>
      <c r="M78" s="116">
        <f>+H78-L78</f>
        <v>82761.22</v>
      </c>
      <c r="N78" s="116">
        <f>+IF(M79*12&lt;=416220.01,0,IF(M78*12&lt;=624329.01,(((M78*12-416220.01)*0.15)/12),IF((M78*12&lt;=867123.01),(31216+0.2*(M78*12-624329.01))/12,((79776+0.25*(M78*12-867123.01))/12))))-O78</f>
        <v>9273.2422916666674</v>
      </c>
      <c r="O78" s="116">
        <v>0</v>
      </c>
      <c r="P78" s="117">
        <v>2717.93</v>
      </c>
      <c r="Q78" s="116">
        <f>+P78+N78+L78</f>
        <v>19229.952291666668</v>
      </c>
      <c r="R78" s="155">
        <f>+H78-Q78</f>
        <v>70770.047708333324</v>
      </c>
    </row>
    <row r="79" spans="1:18" s="114" customFormat="1" ht="39.950000000000003" customHeight="1" x14ac:dyDescent="0.2">
      <c r="A79" s="176">
        <f>+A78+1</f>
        <v>37</v>
      </c>
      <c r="B79" s="177" t="s">
        <v>325</v>
      </c>
      <c r="C79" s="129" t="s">
        <v>339</v>
      </c>
      <c r="D79" s="175" t="s">
        <v>582</v>
      </c>
      <c r="E79" s="102" t="s">
        <v>180</v>
      </c>
      <c r="F79" s="153" t="s">
        <v>588</v>
      </c>
      <c r="G79" s="153" t="s">
        <v>632</v>
      </c>
      <c r="H79" s="155">
        <v>80000</v>
      </c>
      <c r="I79" s="97">
        <f>H79*2.87%</f>
        <v>2296</v>
      </c>
      <c r="J79" s="97">
        <f>+H79*3.04%</f>
        <v>2432</v>
      </c>
      <c r="K79" s="118">
        <v>1919.78</v>
      </c>
      <c r="L79" s="105">
        <f>+J79+I79+K79</f>
        <v>6647.78</v>
      </c>
      <c r="M79" s="105">
        <f>+H79-L79</f>
        <v>73352.22</v>
      </c>
      <c r="N79" s="116">
        <f>+IF(M80*12&lt;=416220.01,0,IF(M79*12&lt;=624329.01,(((M79*12-416220.01)*0.15)/12),IF((M79*12&lt;=867123.01),(31216+0.2*(M79*12-624329.01))/12,((79776+0.25*(M79*12-867123.01))/12))))-O79</f>
        <v>6920.9922916666665</v>
      </c>
      <c r="O79" s="105">
        <v>0</v>
      </c>
      <c r="P79" s="117">
        <v>2290.29</v>
      </c>
      <c r="Q79" s="105">
        <f>+P79+N79+L79</f>
        <v>15859.062291666665</v>
      </c>
      <c r="R79" s="163">
        <f>+H79-Q79</f>
        <v>64140.937708333338</v>
      </c>
    </row>
    <row r="80" spans="1:18" s="114" customFormat="1" ht="39.950000000000003" customHeight="1" x14ac:dyDescent="0.2">
      <c r="A80" s="152">
        <f>+A79+1</f>
        <v>38</v>
      </c>
      <c r="B80" s="157" t="s">
        <v>590</v>
      </c>
      <c r="C80" s="130" t="s">
        <v>338</v>
      </c>
      <c r="D80" s="153" t="s">
        <v>582</v>
      </c>
      <c r="E80" s="153" t="s">
        <v>180</v>
      </c>
      <c r="F80" s="153" t="s">
        <v>588</v>
      </c>
      <c r="G80" s="153" t="s">
        <v>632</v>
      </c>
      <c r="H80" s="160">
        <v>80000</v>
      </c>
      <c r="I80" s="116">
        <f>H80*2.87%</f>
        <v>2296</v>
      </c>
      <c r="J80" s="116">
        <f>+H80*3.04%</f>
        <v>2432</v>
      </c>
      <c r="K80" s="116"/>
      <c r="L80" s="116">
        <f>+J80+I80+K80</f>
        <v>4728</v>
      </c>
      <c r="M80" s="116">
        <f>+H80-L80</f>
        <v>75272</v>
      </c>
      <c r="N80" s="116">
        <f>+IF(M81*12&lt;=416220.01,0,IF(M80*12&lt;=624329.01,(((M80*12-416220.01)*0.15)/12),IF((M80*12&lt;=867123.01),(31216+0.2*(M80*12-624329.01))/12,((79776+0.25*(M80*12-867123.01))/12))))-O80</f>
        <v>7400.9372916666662</v>
      </c>
      <c r="O80" s="116"/>
      <c r="P80" s="116">
        <v>4048.6</v>
      </c>
      <c r="Q80" s="116">
        <f>+P80+N80+L80</f>
        <v>16177.537291666666</v>
      </c>
      <c r="R80" s="116">
        <f>+H80-Q80</f>
        <v>63822.462708333333</v>
      </c>
    </row>
    <row r="81" spans="1:18" s="170" customFormat="1" ht="39.950000000000003" customHeight="1" x14ac:dyDescent="0.2">
      <c r="A81" s="370" t="s">
        <v>100</v>
      </c>
      <c r="B81" s="371"/>
      <c r="C81" s="100"/>
      <c r="D81" s="100"/>
      <c r="E81" s="100"/>
      <c r="F81" s="100"/>
      <c r="G81" s="100"/>
      <c r="H81" s="101">
        <f>SUM(H77:H80)</f>
        <v>340000</v>
      </c>
      <c r="I81" s="101">
        <f t="shared" ref="I81:R81" si="36">SUM(I77:I80)</f>
        <v>9758</v>
      </c>
      <c r="J81" s="101">
        <f t="shared" si="36"/>
        <v>10336</v>
      </c>
      <c r="K81" s="101">
        <f t="shared" si="36"/>
        <v>5759.34</v>
      </c>
      <c r="L81" s="101">
        <f t="shared" si="36"/>
        <v>25853.34</v>
      </c>
      <c r="M81" s="101">
        <f t="shared" si="36"/>
        <v>314146.66000000003</v>
      </c>
      <c r="N81" s="101">
        <f t="shared" si="36"/>
        <v>32868.414166666669</v>
      </c>
      <c r="O81" s="101">
        <f t="shared" si="36"/>
        <v>0</v>
      </c>
      <c r="P81" s="101">
        <f t="shared" si="36"/>
        <v>12347.109999999999</v>
      </c>
      <c r="Q81" s="101">
        <f t="shared" si="36"/>
        <v>71068.864166666666</v>
      </c>
      <c r="R81" s="101">
        <f t="shared" si="36"/>
        <v>268931.13583333336</v>
      </c>
    </row>
    <row r="82" spans="1:18" s="111" customFormat="1" ht="39.950000000000003" customHeight="1" thickBot="1" x14ac:dyDescent="0.25">
      <c r="A82" s="169"/>
      <c r="B82" s="169"/>
      <c r="C82" s="169"/>
      <c r="D82" s="169"/>
      <c r="E82" s="169"/>
      <c r="F82" s="169"/>
      <c r="G82" s="169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</row>
    <row r="83" spans="1:18" s="114" customFormat="1" ht="39.950000000000003" customHeight="1" thickBot="1" x14ac:dyDescent="0.25">
      <c r="A83" s="150" t="s">
        <v>131</v>
      </c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</row>
    <row r="84" spans="1:18" s="114" customFormat="1" ht="39.950000000000003" customHeight="1" x14ac:dyDescent="0.2">
      <c r="A84" s="156">
        <f>+A80+1</f>
        <v>39</v>
      </c>
      <c r="B84" s="105" t="s">
        <v>122</v>
      </c>
      <c r="C84" s="130" t="s">
        <v>338</v>
      </c>
      <c r="D84" s="153" t="s">
        <v>416</v>
      </c>
      <c r="E84" s="153" t="s">
        <v>180</v>
      </c>
      <c r="F84" s="153" t="s">
        <v>599</v>
      </c>
      <c r="G84" s="153" t="s">
        <v>648</v>
      </c>
      <c r="H84" s="160">
        <v>155000</v>
      </c>
      <c r="I84" s="118">
        <f>H84*2.87%</f>
        <v>4448.5</v>
      </c>
      <c r="J84" s="118">
        <f>+H84*3.04%</f>
        <v>4712</v>
      </c>
      <c r="K84" s="118"/>
      <c r="L84" s="116">
        <f>+J84+I84+K84</f>
        <v>9160.5</v>
      </c>
      <c r="M84" s="116">
        <f>+H84-L84</f>
        <v>145839.5</v>
      </c>
      <c r="N84" s="116">
        <f>+IF(M84*12&lt;=416220.01,0,IF(M84*12&lt;=624329.01,(((M84*12-416220.01)*0.15)/12),IF((M84*12&lt;=867123.01),(31216+0.2*(M84*12-624329.01))/12,((79776+0.25*(M84*12-867123.01))/12))))-O84</f>
        <v>25042.812291666665</v>
      </c>
      <c r="O84" s="116">
        <v>0</v>
      </c>
      <c r="P84" s="155">
        <f>100+125</f>
        <v>225</v>
      </c>
      <c r="Q84" s="116">
        <f>+P84+N84+L84</f>
        <v>34428.312291666662</v>
      </c>
      <c r="R84" s="155">
        <f>+H84-Q84</f>
        <v>120571.68770833334</v>
      </c>
    </row>
    <row r="85" spans="1:18" s="114" customFormat="1" ht="39.950000000000003" customHeight="1" x14ac:dyDescent="0.2">
      <c r="A85" s="156">
        <f>+A84+1</f>
        <v>40</v>
      </c>
      <c r="B85" s="157" t="s">
        <v>456</v>
      </c>
      <c r="C85" s="130" t="s">
        <v>339</v>
      </c>
      <c r="D85" s="153" t="s">
        <v>582</v>
      </c>
      <c r="E85" s="153" t="s">
        <v>180</v>
      </c>
      <c r="F85" s="153" t="s">
        <v>576</v>
      </c>
      <c r="G85" s="153" t="s">
        <v>620</v>
      </c>
      <c r="H85" s="160">
        <v>80000</v>
      </c>
      <c r="I85" s="118">
        <f>H85*2.87%</f>
        <v>2296</v>
      </c>
      <c r="J85" s="118">
        <f>+H85*3.04%</f>
        <v>2432</v>
      </c>
      <c r="K85" s="118">
        <v>1919.78</v>
      </c>
      <c r="L85" s="116">
        <f>+J85+I85+K85</f>
        <v>6647.78</v>
      </c>
      <c r="M85" s="116">
        <f t="shared" ref="M85" si="37">+H85-L85</f>
        <v>73352.22</v>
      </c>
      <c r="N85" s="116">
        <f>+IF(M85*12&lt;=416220.01,0,IF(M85*12&lt;=624329.01,(((M85*12-416220.01)*0.15)/12),IF((M85*12&lt;=867123.01),(31216+0.2*(M85*12-624329.01))/12,((79776+0.25*(M85*12-867123.01))/12))))-O85</f>
        <v>6920.9922916666665</v>
      </c>
      <c r="O85" s="116"/>
      <c r="P85" s="155">
        <v>1290.29</v>
      </c>
      <c r="Q85" s="116">
        <f>+P85+N85+L85</f>
        <v>14859.062291666665</v>
      </c>
      <c r="R85" s="155">
        <f>+H85-Q85</f>
        <v>65140.937708333338</v>
      </c>
    </row>
    <row r="86" spans="1:18" s="114" customFormat="1" ht="39.950000000000003" customHeight="1" x14ac:dyDescent="0.2">
      <c r="A86" s="156">
        <f>+A85+1</f>
        <v>41</v>
      </c>
      <c r="B86" s="164" t="s">
        <v>513</v>
      </c>
      <c r="C86" s="134" t="s">
        <v>339</v>
      </c>
      <c r="D86" s="107" t="s">
        <v>582</v>
      </c>
      <c r="E86" s="153" t="s">
        <v>180</v>
      </c>
      <c r="F86" s="153" t="s">
        <v>588</v>
      </c>
      <c r="G86" s="153" t="s">
        <v>632</v>
      </c>
      <c r="H86" s="118">
        <v>80000</v>
      </c>
      <c r="I86" s="118">
        <f>H86*2.87%</f>
        <v>2296</v>
      </c>
      <c r="J86" s="118">
        <f>+H86*3.04%</f>
        <v>2432</v>
      </c>
      <c r="K86" s="118">
        <v>0</v>
      </c>
      <c r="L86" s="116">
        <f t="shared" ref="L86" si="38">+J86+I86+K86</f>
        <v>4728</v>
      </c>
      <c r="M86" s="116">
        <f>+H86-L86</f>
        <v>75272</v>
      </c>
      <c r="N86" s="116">
        <f>+IF(M86*12&lt;=416220.01,0,IF(M86*12&lt;=624329.01,(((M86*12-416220.01)*0.15)/12),IF((M86*12&lt;=867123.01),(31216+0.2*(M86*12-624329.01))/12,((79776+0.25*(M86*12-867123.01))/12))))-O86</f>
        <v>7400.9372916666662</v>
      </c>
      <c r="O86" s="116">
        <v>0</v>
      </c>
      <c r="P86" s="155">
        <v>25</v>
      </c>
      <c r="Q86" s="118">
        <f>+P86+N86+L86</f>
        <v>12153.937291666665</v>
      </c>
      <c r="R86" s="155">
        <f>+H86-Q86</f>
        <v>67846.062708333338</v>
      </c>
    </row>
    <row r="87" spans="1:18" s="114" customFormat="1" ht="39.950000000000003" customHeight="1" thickBot="1" x14ac:dyDescent="0.25">
      <c r="A87" s="370" t="s">
        <v>100</v>
      </c>
      <c r="B87" s="371"/>
      <c r="C87" s="100"/>
      <c r="D87" s="100"/>
      <c r="E87" s="100"/>
      <c r="F87" s="100"/>
      <c r="G87" s="100"/>
      <c r="H87" s="101">
        <f>SUM(H84:H86)</f>
        <v>315000</v>
      </c>
      <c r="I87" s="101">
        <f t="shared" ref="I87:R87" si="39">SUM(I84:I86)</f>
        <v>9040.5</v>
      </c>
      <c r="J87" s="101">
        <f t="shared" si="39"/>
        <v>9576</v>
      </c>
      <c r="K87" s="101">
        <f t="shared" si="39"/>
        <v>1919.78</v>
      </c>
      <c r="L87" s="101">
        <f t="shared" si="39"/>
        <v>20536.28</v>
      </c>
      <c r="M87" s="101">
        <f t="shared" si="39"/>
        <v>294463.71999999997</v>
      </c>
      <c r="N87" s="101">
        <f t="shared" si="39"/>
        <v>39364.741875</v>
      </c>
      <c r="O87" s="101">
        <f t="shared" si="39"/>
        <v>0</v>
      </c>
      <c r="P87" s="101">
        <f t="shared" si="39"/>
        <v>1540.29</v>
      </c>
      <c r="Q87" s="101">
        <f t="shared" si="39"/>
        <v>61441.311874999985</v>
      </c>
      <c r="R87" s="101">
        <f t="shared" si="39"/>
        <v>253558.68812500002</v>
      </c>
    </row>
    <row r="88" spans="1:18" s="114" customFormat="1" ht="39.950000000000003" customHeight="1" thickBot="1" x14ac:dyDescent="0.25">
      <c r="A88" s="150"/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Q88" s="151"/>
      <c r="R88" s="151"/>
    </row>
    <row r="89" spans="1:18" s="114" customFormat="1" ht="39.950000000000003" customHeight="1" thickBot="1" x14ac:dyDescent="0.25">
      <c r="A89" s="150" t="s">
        <v>435</v>
      </c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</row>
    <row r="90" spans="1:18" s="114" customFormat="1" ht="39.950000000000003" customHeight="1" x14ac:dyDescent="0.2">
      <c r="A90" s="152">
        <f>+A86+1</f>
        <v>42</v>
      </c>
      <c r="B90" s="157" t="s">
        <v>322</v>
      </c>
      <c r="C90" s="130" t="s">
        <v>338</v>
      </c>
      <c r="D90" s="153" t="s">
        <v>582</v>
      </c>
      <c r="E90" s="153" t="s">
        <v>180</v>
      </c>
      <c r="F90" s="158" t="s">
        <v>637</v>
      </c>
      <c r="G90" s="158" t="s">
        <v>636</v>
      </c>
      <c r="H90" s="160">
        <v>85000</v>
      </c>
      <c r="I90" s="116">
        <f>H90*2.87%</f>
        <v>2439.5</v>
      </c>
      <c r="J90" s="116">
        <f>+H90*3.04%</f>
        <v>2584</v>
      </c>
      <c r="K90" s="116"/>
      <c r="L90" s="116">
        <f>+J90+I90+K90</f>
        <v>5023.5</v>
      </c>
      <c r="M90" s="116">
        <f>+H90-L90</f>
        <v>79976.5</v>
      </c>
      <c r="N90" s="116">
        <f>+IF(M90*12&lt;=416220.01,0,IF(M90*12&lt;=624329.01,(((M90*12-416220.01)*0.15)/12),IF((M90*12&lt;=867123.01),(31216+0.2*(M90*12-624329.01))/12,((79776+0.25*(M90*12-867123.01))/12))))</f>
        <v>8577.0622916666671</v>
      </c>
      <c r="O90" s="116"/>
      <c r="P90" s="116">
        <v>3290.29</v>
      </c>
      <c r="Q90" s="116">
        <f>+P90+N90+L90</f>
        <v>16890.852291666666</v>
      </c>
      <c r="R90" s="116">
        <f>+H90-Q90</f>
        <v>68109.14770833333</v>
      </c>
    </row>
    <row r="91" spans="1:18" s="170" customFormat="1" ht="41.25" customHeight="1" x14ac:dyDescent="0.2">
      <c r="A91" s="176">
        <f>+A90+1</f>
        <v>43</v>
      </c>
      <c r="B91" s="177" t="s">
        <v>541</v>
      </c>
      <c r="C91" s="129" t="s">
        <v>339</v>
      </c>
      <c r="D91" s="175" t="s">
        <v>582</v>
      </c>
      <c r="E91" s="102" t="s">
        <v>180</v>
      </c>
      <c r="F91" s="153" t="s">
        <v>576</v>
      </c>
      <c r="G91" s="153" t="s">
        <v>620</v>
      </c>
      <c r="H91" s="155">
        <v>80000</v>
      </c>
      <c r="I91" s="118">
        <f>H91*2.87%</f>
        <v>2296</v>
      </c>
      <c r="J91" s="118">
        <f>+H91*3.04%</f>
        <v>2432</v>
      </c>
      <c r="K91" s="118"/>
      <c r="L91" s="116">
        <f>+J91+I91+K91</f>
        <v>4728</v>
      </c>
      <c r="M91" s="116">
        <f>+H91-L91</f>
        <v>75272</v>
      </c>
      <c r="N91" s="116">
        <f>+IF(M91*12&lt;=416220.01,0,IF(M91*12&lt;=624329.01,(((M91*12-416220.01)*0.15)/12),IF((M91*12&lt;=867123.01),(31216+0.2*(M91*12-624329.01))/12,((79776+0.25*(M91*12-867123.01))/12))))</f>
        <v>7400.9372916666662</v>
      </c>
      <c r="O91" s="116"/>
      <c r="P91" s="160">
        <v>1790.29</v>
      </c>
      <c r="Q91" s="116">
        <f>+P91+N91+L91</f>
        <v>13919.227291666666</v>
      </c>
      <c r="R91" s="155">
        <f>+H91-Q91</f>
        <v>66080.77270833333</v>
      </c>
    </row>
    <row r="92" spans="1:18" s="114" customFormat="1" ht="39.950000000000003" customHeight="1" thickBot="1" x14ac:dyDescent="0.25">
      <c r="A92" s="370" t="s">
        <v>100</v>
      </c>
      <c r="B92" s="371"/>
      <c r="C92" s="100"/>
      <c r="D92" s="100"/>
      <c r="E92" s="100"/>
      <c r="F92" s="100"/>
      <c r="G92" s="100"/>
      <c r="H92" s="101">
        <f t="shared" ref="H92:R92" si="40">SUM(H90:H91)</f>
        <v>165000</v>
      </c>
      <c r="I92" s="101">
        <f t="shared" si="40"/>
        <v>4735.5</v>
      </c>
      <c r="J92" s="101">
        <f t="shared" si="40"/>
        <v>5016</v>
      </c>
      <c r="K92" s="101">
        <f t="shared" si="40"/>
        <v>0</v>
      </c>
      <c r="L92" s="101">
        <f t="shared" si="40"/>
        <v>9751.5</v>
      </c>
      <c r="M92" s="101">
        <f t="shared" si="40"/>
        <v>155248.5</v>
      </c>
      <c r="N92" s="101">
        <f t="shared" si="40"/>
        <v>15977.999583333334</v>
      </c>
      <c r="O92" s="101">
        <f t="shared" si="40"/>
        <v>0</v>
      </c>
      <c r="P92" s="101">
        <f t="shared" si="40"/>
        <v>5080.58</v>
      </c>
      <c r="Q92" s="101">
        <f t="shared" si="40"/>
        <v>30810.079583333332</v>
      </c>
      <c r="R92" s="101">
        <f t="shared" si="40"/>
        <v>134189.92041666666</v>
      </c>
    </row>
    <row r="93" spans="1:18" s="114" customFormat="1" ht="39.950000000000003" customHeight="1" thickBot="1" x14ac:dyDescent="0.25">
      <c r="A93" s="150" t="s">
        <v>134</v>
      </c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</row>
    <row r="94" spans="1:18" s="170" customFormat="1" ht="39.950000000000003" customHeight="1" x14ac:dyDescent="0.2">
      <c r="A94" s="156">
        <f>+A91+1</f>
        <v>44</v>
      </c>
      <c r="B94" s="157" t="s">
        <v>489</v>
      </c>
      <c r="C94" s="130" t="s">
        <v>339</v>
      </c>
      <c r="D94" s="153" t="s">
        <v>582</v>
      </c>
      <c r="E94" s="153" t="s">
        <v>180</v>
      </c>
      <c r="F94" s="153" t="s">
        <v>621</v>
      </c>
      <c r="G94" s="153" t="s">
        <v>654</v>
      </c>
      <c r="H94" s="160">
        <v>80000</v>
      </c>
      <c r="I94" s="116">
        <f>H94*2.87%</f>
        <v>2296</v>
      </c>
      <c r="J94" s="116">
        <f>+H94*3.04%</f>
        <v>2432</v>
      </c>
      <c r="K94" s="116"/>
      <c r="L94" s="116">
        <f>+J94+I94+K94</f>
        <v>4728</v>
      </c>
      <c r="M94" s="116">
        <f>+H94-L94</f>
        <v>75272</v>
      </c>
      <c r="N94" s="116">
        <v>7400.94</v>
      </c>
      <c r="O94" s="116"/>
      <c r="P94" s="155">
        <v>1090.29</v>
      </c>
      <c r="Q94" s="116">
        <f>+P94+N94+L94</f>
        <v>13219.23</v>
      </c>
      <c r="R94" s="160">
        <f>+H94-Q94</f>
        <v>66780.77</v>
      </c>
    </row>
    <row r="95" spans="1:18" s="170" customFormat="1" ht="39.950000000000003" customHeight="1" x14ac:dyDescent="0.2">
      <c r="A95" s="156">
        <f>+A94+1</f>
        <v>45</v>
      </c>
      <c r="B95" s="157" t="s">
        <v>363</v>
      </c>
      <c r="C95" s="130" t="s">
        <v>338</v>
      </c>
      <c r="D95" s="153" t="s">
        <v>582</v>
      </c>
      <c r="E95" s="153" t="s">
        <v>180</v>
      </c>
      <c r="F95" s="158" t="s">
        <v>599</v>
      </c>
      <c r="G95" s="158" t="s">
        <v>644</v>
      </c>
      <c r="H95" s="160">
        <v>90000</v>
      </c>
      <c r="I95" s="116">
        <f>H95*2.87%</f>
        <v>2583</v>
      </c>
      <c r="J95" s="116">
        <f>+H95*3.04%</f>
        <v>2736</v>
      </c>
      <c r="K95" s="116"/>
      <c r="L95" s="116">
        <f>+J95+I95+K95</f>
        <v>5319</v>
      </c>
      <c r="M95" s="116">
        <f>+H95-L95</f>
        <v>84681</v>
      </c>
      <c r="N95" s="116">
        <f>+IF(M69*12&lt;=416220.01,0,IF(M95*12&lt;=624329.01,(((M95*12-416220.01)*0.15)/12),IF((M95*12&lt;=867123.01),(31216+0.2*(M95*12-624329.01))/12,((79776+0.25*(M95*12-867123.01))/12))))-O95</f>
        <v>9753.1872916666671</v>
      </c>
      <c r="O95" s="116"/>
      <c r="P95" s="155">
        <f>100+125</f>
        <v>225</v>
      </c>
      <c r="Q95" s="116">
        <f>+P95+N95+L95</f>
        <v>15297.187291666667</v>
      </c>
      <c r="R95" s="160">
        <f>+H95-Q95</f>
        <v>74702.812708333338</v>
      </c>
    </row>
    <row r="96" spans="1:18" s="114" customFormat="1" ht="39.950000000000003" customHeight="1" x14ac:dyDescent="0.2">
      <c r="A96" s="370" t="s">
        <v>100</v>
      </c>
      <c r="B96" s="371"/>
      <c r="C96" s="100"/>
      <c r="D96" s="100"/>
      <c r="E96" s="100"/>
      <c r="F96" s="100"/>
      <c r="G96" s="100"/>
      <c r="H96" s="101">
        <f>SUM(H94:H95)</f>
        <v>170000</v>
      </c>
      <c r="I96" s="101">
        <f t="shared" ref="I96:R96" si="41">SUM(I94:I95)</f>
        <v>4879</v>
      </c>
      <c r="J96" s="101">
        <f t="shared" si="41"/>
        <v>5168</v>
      </c>
      <c r="K96" s="101">
        <f t="shared" si="41"/>
        <v>0</v>
      </c>
      <c r="L96" s="101">
        <f t="shared" si="41"/>
        <v>10047</v>
      </c>
      <c r="M96" s="101">
        <f t="shared" si="41"/>
        <v>159953</v>
      </c>
      <c r="N96" s="101">
        <f t="shared" si="41"/>
        <v>17154.127291666668</v>
      </c>
      <c r="O96" s="101">
        <f t="shared" si="41"/>
        <v>0</v>
      </c>
      <c r="P96" s="101">
        <f t="shared" si="41"/>
        <v>1315.29</v>
      </c>
      <c r="Q96" s="101">
        <f t="shared" si="41"/>
        <v>28516.417291666665</v>
      </c>
      <c r="R96" s="101">
        <f t="shared" si="41"/>
        <v>141483.58270833333</v>
      </c>
    </row>
    <row r="97" spans="1:18" s="114" customFormat="1" ht="39.950000000000003" customHeight="1" thickBot="1" x14ac:dyDescent="0.25">
      <c r="A97" s="169"/>
      <c r="B97" s="169"/>
      <c r="C97" s="169"/>
      <c r="D97" s="169"/>
      <c r="E97" s="169"/>
      <c r="F97" s="169"/>
      <c r="G97" s="169"/>
    </row>
    <row r="98" spans="1:18" s="98" customFormat="1" ht="39.950000000000003" customHeight="1" thickBot="1" x14ac:dyDescent="0.25">
      <c r="A98" s="150" t="s">
        <v>136</v>
      </c>
      <c r="B98" s="151"/>
      <c r="C98" s="151"/>
      <c r="D98" s="151"/>
      <c r="E98" s="151"/>
      <c r="F98" s="151"/>
      <c r="G98" s="318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</row>
    <row r="99" spans="1:18" s="114" customFormat="1" ht="39.950000000000003" customHeight="1" x14ac:dyDescent="0.2">
      <c r="A99" s="156">
        <f>+A95+1</f>
        <v>46</v>
      </c>
      <c r="B99" s="157" t="s">
        <v>358</v>
      </c>
      <c r="C99" s="130" t="s">
        <v>338</v>
      </c>
      <c r="D99" s="153" t="s">
        <v>582</v>
      </c>
      <c r="E99" s="153" t="s">
        <v>180</v>
      </c>
      <c r="F99" s="153" t="s">
        <v>576</v>
      </c>
      <c r="G99" s="153" t="s">
        <v>620</v>
      </c>
      <c r="H99" s="160">
        <v>80000</v>
      </c>
      <c r="I99" s="116">
        <f>H99*2.87%</f>
        <v>2296</v>
      </c>
      <c r="J99" s="116">
        <f>+H99*3.04%</f>
        <v>2432</v>
      </c>
      <c r="K99" s="116"/>
      <c r="L99" s="116">
        <f>+J99+I99+K99</f>
        <v>4728</v>
      </c>
      <c r="M99" s="116">
        <f>+H99-L99</f>
        <v>75272</v>
      </c>
      <c r="N99" s="116">
        <f>+IF(M99*12&lt;=416220.01,0,IF(M99*12&lt;=624329.01,(((M99*12-416220.01)*0.15)/12),IF((M99*12&lt;=867123.01),(31216+0.2*(M99*12-624329.01))/12,((79776+0.25*(M99*12-867123.01))/12))))</f>
        <v>7400.9372916666662</v>
      </c>
      <c r="O99" s="116"/>
      <c r="P99" s="155">
        <v>225</v>
      </c>
      <c r="Q99" s="116">
        <f>+P99+N99+L99</f>
        <v>12353.937291666665</v>
      </c>
      <c r="R99" s="160">
        <f>+H99-Q99</f>
        <v>67646.062708333338</v>
      </c>
    </row>
    <row r="100" spans="1:18" s="114" customFormat="1" ht="39.950000000000003" customHeight="1" x14ac:dyDescent="0.2">
      <c r="A100" s="370" t="s">
        <v>100</v>
      </c>
      <c r="B100" s="371"/>
      <c r="C100" s="100"/>
      <c r="D100" s="100"/>
      <c r="E100" s="100"/>
      <c r="F100" s="100"/>
      <c r="G100" s="100"/>
      <c r="H100" s="101">
        <f>SUM(H99)</f>
        <v>80000</v>
      </c>
      <c r="I100" s="101">
        <f t="shared" ref="I100:R100" si="42">SUM(I99)</f>
        <v>2296</v>
      </c>
      <c r="J100" s="101">
        <f t="shared" si="42"/>
        <v>2432</v>
      </c>
      <c r="K100" s="101">
        <f t="shared" si="42"/>
        <v>0</v>
      </c>
      <c r="L100" s="101">
        <f t="shared" si="42"/>
        <v>4728</v>
      </c>
      <c r="M100" s="101">
        <f t="shared" si="42"/>
        <v>75272</v>
      </c>
      <c r="N100" s="101">
        <f t="shared" si="42"/>
        <v>7400.9372916666662</v>
      </c>
      <c r="O100" s="101">
        <f t="shared" si="42"/>
        <v>0</v>
      </c>
      <c r="P100" s="101">
        <f t="shared" si="42"/>
        <v>225</v>
      </c>
      <c r="Q100" s="101">
        <f t="shared" si="42"/>
        <v>12353.937291666665</v>
      </c>
      <c r="R100" s="101">
        <f t="shared" si="42"/>
        <v>67646.062708333338</v>
      </c>
    </row>
    <row r="101" spans="1:18" s="114" customFormat="1" ht="39.950000000000003" customHeight="1" thickBot="1" x14ac:dyDescent="0.25">
      <c r="A101" s="169"/>
      <c r="B101" s="169"/>
      <c r="C101" s="169"/>
      <c r="D101" s="169"/>
      <c r="E101" s="169"/>
      <c r="F101" s="169"/>
      <c r="G101" s="169"/>
    </row>
    <row r="102" spans="1:18" s="114" customFormat="1" ht="39.950000000000003" customHeight="1" thickBot="1" x14ac:dyDescent="0.25">
      <c r="A102" s="150" t="s">
        <v>137</v>
      </c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</row>
    <row r="103" spans="1:18" s="98" customFormat="1" ht="39.950000000000003" customHeight="1" x14ac:dyDescent="0.2">
      <c r="A103" s="156">
        <f>+A99+1</f>
        <v>47</v>
      </c>
      <c r="B103" s="97" t="s">
        <v>348</v>
      </c>
      <c r="C103" s="132" t="s">
        <v>339</v>
      </c>
      <c r="D103" s="175" t="s">
        <v>582</v>
      </c>
      <c r="E103" s="175" t="s">
        <v>180</v>
      </c>
      <c r="F103" s="153" t="s">
        <v>621</v>
      </c>
      <c r="G103" s="153" t="s">
        <v>654</v>
      </c>
      <c r="H103" s="160">
        <v>85000</v>
      </c>
      <c r="I103" s="116">
        <f>H103*2.87%</f>
        <v>2439.5</v>
      </c>
      <c r="J103" s="116">
        <f>+H103*3.04%</f>
        <v>2584</v>
      </c>
      <c r="K103" s="116"/>
      <c r="L103" s="116">
        <f>+J103+I103+K103</f>
        <v>5023.5</v>
      </c>
      <c r="M103" s="116">
        <f>+H103-L103</f>
        <v>79976.5</v>
      </c>
      <c r="N103" s="116">
        <f t="shared" ref="N103:N106" si="43">+IF(M103*12&lt;=416220.01,0,IF(M103*12&lt;=624329.01,(((M103*12-416220.01)*0.15)/12),IF((M103*12&lt;=867123.01),(31216+0.2*(M103*12-624329.01))/12,((79776+0.25*(M103*12-867123.01))/12))))</f>
        <v>8577.0622916666671</v>
      </c>
      <c r="O103" s="116"/>
      <c r="P103" s="155">
        <v>3290.29</v>
      </c>
      <c r="Q103" s="116">
        <f>+P103+N103+L103</f>
        <v>16890.852291666666</v>
      </c>
      <c r="R103" s="160">
        <f>+H103-Q103</f>
        <v>68109.14770833333</v>
      </c>
    </row>
    <row r="104" spans="1:18" s="98" customFormat="1" ht="39.950000000000003" customHeight="1" x14ac:dyDescent="0.2">
      <c r="A104" s="156">
        <f>+A103+1</f>
        <v>48</v>
      </c>
      <c r="B104" s="97" t="s">
        <v>357</v>
      </c>
      <c r="C104" s="132" t="s">
        <v>339</v>
      </c>
      <c r="D104" s="175" t="s">
        <v>582</v>
      </c>
      <c r="E104" s="175" t="s">
        <v>180</v>
      </c>
      <c r="F104" s="153" t="s">
        <v>576</v>
      </c>
      <c r="G104" s="153" t="s">
        <v>620</v>
      </c>
      <c r="H104" s="160">
        <v>85000</v>
      </c>
      <c r="I104" s="116">
        <f>H104*2.87%</f>
        <v>2439.5</v>
      </c>
      <c r="J104" s="116">
        <f>+H104*3.04%</f>
        <v>2584</v>
      </c>
      <c r="K104" s="116"/>
      <c r="L104" s="116">
        <f>+J104+I104+K104</f>
        <v>5023.5</v>
      </c>
      <c r="M104" s="116">
        <f>+H104-L104</f>
        <v>79976.5</v>
      </c>
      <c r="N104" s="116">
        <f t="shared" si="43"/>
        <v>8577.0622916666671</v>
      </c>
      <c r="O104" s="116"/>
      <c r="P104" s="155">
        <f>125+100</f>
        <v>225</v>
      </c>
      <c r="Q104" s="116">
        <f>+P104+N104+L104</f>
        <v>13825.562291666667</v>
      </c>
      <c r="R104" s="160">
        <f>+H104-Q104</f>
        <v>71174.437708333338</v>
      </c>
    </row>
    <row r="105" spans="1:18" s="114" customFormat="1" ht="39.950000000000003" customHeight="1" x14ac:dyDescent="0.2">
      <c r="A105" s="156">
        <f>+A104+1</f>
        <v>49</v>
      </c>
      <c r="B105" s="97" t="s">
        <v>514</v>
      </c>
      <c r="C105" s="132" t="s">
        <v>339</v>
      </c>
      <c r="D105" s="175" t="s">
        <v>582</v>
      </c>
      <c r="E105" s="175" t="s">
        <v>180</v>
      </c>
      <c r="F105" s="153" t="s">
        <v>588</v>
      </c>
      <c r="G105" s="153" t="s">
        <v>632</v>
      </c>
      <c r="H105" s="160">
        <v>80000</v>
      </c>
      <c r="I105" s="116">
        <f>H105*2.87%</f>
        <v>2296</v>
      </c>
      <c r="J105" s="116">
        <f>+H105*3.04%</f>
        <v>2432</v>
      </c>
      <c r="K105" s="116"/>
      <c r="L105" s="116">
        <f>+J105+I105+K105</f>
        <v>4728</v>
      </c>
      <c r="M105" s="116">
        <f>+H105-L105</f>
        <v>75272</v>
      </c>
      <c r="N105" s="116">
        <f t="shared" si="43"/>
        <v>7400.9372916666662</v>
      </c>
      <c r="O105" s="116"/>
      <c r="P105" s="155">
        <v>2330.29</v>
      </c>
      <c r="Q105" s="116">
        <f>+P105+N105+L105</f>
        <v>14459.227291666666</v>
      </c>
      <c r="R105" s="160">
        <f>+H105-Q105</f>
        <v>65540.77270833333</v>
      </c>
    </row>
    <row r="106" spans="1:18" s="114" customFormat="1" ht="39.950000000000003" customHeight="1" x14ac:dyDescent="0.2">
      <c r="A106" s="156">
        <f>+A105+1</f>
        <v>50</v>
      </c>
      <c r="B106" s="97" t="s">
        <v>420</v>
      </c>
      <c r="C106" s="132" t="s">
        <v>338</v>
      </c>
      <c r="D106" s="175" t="s">
        <v>582</v>
      </c>
      <c r="E106" s="175" t="s">
        <v>180</v>
      </c>
      <c r="F106" s="158" t="s">
        <v>599</v>
      </c>
      <c r="G106" s="158" t="s">
        <v>636</v>
      </c>
      <c r="H106" s="160">
        <v>80000</v>
      </c>
      <c r="I106" s="116">
        <f>H106*2.87%</f>
        <v>2296</v>
      </c>
      <c r="J106" s="116">
        <f>+H106*3.04%</f>
        <v>2432</v>
      </c>
      <c r="K106" s="116"/>
      <c r="L106" s="116">
        <f>+J106+I106+K106</f>
        <v>4728</v>
      </c>
      <c r="M106" s="116">
        <f>+H106-L106</f>
        <v>75272</v>
      </c>
      <c r="N106" s="116">
        <f t="shared" si="43"/>
        <v>7400.9372916666662</v>
      </c>
      <c r="O106" s="116"/>
      <c r="P106" s="155">
        <v>25</v>
      </c>
      <c r="Q106" s="116">
        <f>+P106+N106+L106</f>
        <v>12153.937291666665</v>
      </c>
      <c r="R106" s="160">
        <f>+H106-Q106</f>
        <v>67846.062708333338</v>
      </c>
    </row>
    <row r="107" spans="1:18" s="111" customFormat="1" ht="39.950000000000003" customHeight="1" thickBot="1" x14ac:dyDescent="0.25">
      <c r="A107" s="374" t="s">
        <v>100</v>
      </c>
      <c r="B107" s="375"/>
      <c r="C107" s="100"/>
      <c r="D107" s="100"/>
      <c r="E107" s="100"/>
      <c r="F107" s="100"/>
      <c r="G107" s="100"/>
      <c r="H107" s="101">
        <f>SUM(H103:H106)</f>
        <v>330000</v>
      </c>
      <c r="I107" s="101">
        <f t="shared" ref="I107:R107" si="44">SUM(I103:I106)</f>
        <v>9471</v>
      </c>
      <c r="J107" s="101">
        <f t="shared" si="44"/>
        <v>10032</v>
      </c>
      <c r="K107" s="101">
        <f t="shared" si="44"/>
        <v>0</v>
      </c>
      <c r="L107" s="101">
        <f t="shared" si="44"/>
        <v>19503</v>
      </c>
      <c r="M107" s="101">
        <f t="shared" si="44"/>
        <v>310497</v>
      </c>
      <c r="N107" s="101">
        <f>SUM(N103:N106)</f>
        <v>31955.999166666665</v>
      </c>
      <c r="O107" s="101">
        <f t="shared" si="44"/>
        <v>0</v>
      </c>
      <c r="P107" s="101">
        <f t="shared" si="44"/>
        <v>5870.58</v>
      </c>
      <c r="Q107" s="101">
        <f t="shared" si="44"/>
        <v>57329.579166666663</v>
      </c>
      <c r="R107" s="101">
        <f t="shared" si="44"/>
        <v>272670.42083333334</v>
      </c>
    </row>
    <row r="108" spans="1:18" s="111" customFormat="1" ht="39.950000000000003" customHeight="1" thickBot="1" x14ac:dyDescent="0.25">
      <c r="A108" s="150" t="s">
        <v>138</v>
      </c>
      <c r="B108" s="151"/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151"/>
    </row>
    <row r="109" spans="1:18" s="98" customFormat="1" ht="39.950000000000003" customHeight="1" x14ac:dyDescent="0.2">
      <c r="A109" s="152">
        <f>+A106+1</f>
        <v>51</v>
      </c>
      <c r="B109" s="105" t="s">
        <v>424</v>
      </c>
      <c r="C109" s="130" t="s">
        <v>338</v>
      </c>
      <c r="D109" s="153" t="s">
        <v>582</v>
      </c>
      <c r="E109" s="153" t="s">
        <v>180</v>
      </c>
      <c r="F109" s="153" t="s">
        <v>621</v>
      </c>
      <c r="G109" s="153" t="s">
        <v>654</v>
      </c>
      <c r="H109" s="160">
        <v>80000</v>
      </c>
      <c r="I109" s="116">
        <f>H109*2.87%</f>
        <v>2296</v>
      </c>
      <c r="J109" s="116">
        <f>+H109*3.04%</f>
        <v>2432</v>
      </c>
      <c r="K109" s="116"/>
      <c r="L109" s="116">
        <f>+J109+I109+K109</f>
        <v>4728</v>
      </c>
      <c r="M109" s="116">
        <f>+H109-L109</f>
        <v>75272</v>
      </c>
      <c r="N109" s="116">
        <f t="shared" ref="N109:N110" si="45">+IF(M109*12&lt;=416220.01,0,IF(M109*12&lt;=624329.01,(((M109*12-416220.01)*0.15)/12),IF((M109*12&lt;=867123.01),(31216+0.2*(M109*12-624329.01))/12,((79776+0.25*(M109*12-867123.01))/12))))</f>
        <v>7400.9372916666662</v>
      </c>
      <c r="O109" s="116">
        <v>0</v>
      </c>
      <c r="P109" s="155">
        <v>25</v>
      </c>
      <c r="Q109" s="116">
        <f>+P109+N109+L109</f>
        <v>12153.937291666665</v>
      </c>
      <c r="R109" s="160">
        <f>+H109-Q109</f>
        <v>67846.062708333338</v>
      </c>
    </row>
    <row r="110" spans="1:18" s="98" customFormat="1" ht="39.950000000000003" customHeight="1" x14ac:dyDescent="0.2">
      <c r="A110" s="152">
        <f>+A109+1</f>
        <v>52</v>
      </c>
      <c r="B110" s="105" t="s">
        <v>641</v>
      </c>
      <c r="C110" s="130" t="s">
        <v>339</v>
      </c>
      <c r="D110" s="153" t="s">
        <v>633</v>
      </c>
      <c r="E110" s="153" t="s">
        <v>180</v>
      </c>
      <c r="F110" s="154" t="s">
        <v>610</v>
      </c>
      <c r="G110" s="154" t="s">
        <v>643</v>
      </c>
      <c r="H110" s="160">
        <v>50000</v>
      </c>
      <c r="I110" s="116">
        <f>H110*2.87%</f>
        <v>1435</v>
      </c>
      <c r="J110" s="116">
        <f>+H110*3.04%</f>
        <v>1520</v>
      </c>
      <c r="K110" s="116"/>
      <c r="L110" s="116">
        <f>+J110+I110+K110</f>
        <v>2955</v>
      </c>
      <c r="M110" s="116">
        <f>+H110-L110</f>
        <v>47045</v>
      </c>
      <c r="N110" s="116">
        <f t="shared" si="45"/>
        <v>1853.9998749999997</v>
      </c>
      <c r="O110" s="116"/>
      <c r="P110" s="155">
        <v>25</v>
      </c>
      <c r="Q110" s="331">
        <f>+P110+N110+L110</f>
        <v>4833.9998749999995</v>
      </c>
      <c r="R110" s="160">
        <f>+H110-Q110</f>
        <v>45166.000124999999</v>
      </c>
    </row>
    <row r="111" spans="1:18" s="98" customFormat="1" ht="39.950000000000003" customHeight="1" thickBot="1" x14ac:dyDescent="0.25">
      <c r="A111" s="370" t="s">
        <v>100</v>
      </c>
      <c r="B111" s="371"/>
      <c r="C111" s="100"/>
      <c r="D111" s="100"/>
      <c r="E111" s="100"/>
      <c r="F111" s="100"/>
      <c r="G111" s="100"/>
      <c r="H111" s="101">
        <f t="shared" ref="H111:Q111" si="46">SUM(H109:H110)</f>
        <v>130000</v>
      </c>
      <c r="I111" s="101">
        <f t="shared" si="46"/>
        <v>3731</v>
      </c>
      <c r="J111" s="101">
        <f t="shared" si="46"/>
        <v>3952</v>
      </c>
      <c r="K111" s="101">
        <f t="shared" si="46"/>
        <v>0</v>
      </c>
      <c r="L111" s="101">
        <f t="shared" si="46"/>
        <v>7683</v>
      </c>
      <c r="M111" s="101">
        <f t="shared" si="46"/>
        <v>122317</v>
      </c>
      <c r="N111" s="101">
        <f t="shared" si="46"/>
        <v>9254.9371666666666</v>
      </c>
      <c r="O111" s="101">
        <f t="shared" si="46"/>
        <v>0</v>
      </c>
      <c r="P111" s="101">
        <f t="shared" si="46"/>
        <v>50</v>
      </c>
      <c r="Q111" s="101">
        <f t="shared" si="46"/>
        <v>16987.937166666663</v>
      </c>
      <c r="R111" s="101">
        <f>SUM(R109:R110)</f>
        <v>113012.06283333333</v>
      </c>
    </row>
    <row r="112" spans="1:18" s="111" customFormat="1" ht="39.950000000000003" customHeight="1" thickBot="1" x14ac:dyDescent="0.25">
      <c r="A112" s="172" t="s">
        <v>139</v>
      </c>
      <c r="B112" s="173"/>
      <c r="C112" s="173"/>
      <c r="D112" s="173"/>
      <c r="E112" s="173"/>
      <c r="F112" s="173"/>
      <c r="G112" s="319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</row>
    <row r="113" spans="1:18" s="111" customFormat="1" ht="39.950000000000003" customHeight="1" x14ac:dyDescent="0.2">
      <c r="A113" s="309">
        <f>+A110+1</f>
        <v>53</v>
      </c>
      <c r="B113" s="157" t="s">
        <v>528</v>
      </c>
      <c r="C113" s="130" t="s">
        <v>338</v>
      </c>
      <c r="D113" s="153" t="s">
        <v>582</v>
      </c>
      <c r="E113" s="153" t="s">
        <v>180</v>
      </c>
      <c r="F113" s="158" t="s">
        <v>599</v>
      </c>
      <c r="G113" s="158" t="s">
        <v>636</v>
      </c>
      <c r="H113" s="160">
        <v>80000</v>
      </c>
      <c r="I113" s="116">
        <f>H113*2.87%</f>
        <v>2296</v>
      </c>
      <c r="J113" s="116">
        <f>+H113*3.04%</f>
        <v>2432</v>
      </c>
      <c r="K113" s="116">
        <v>1919.78</v>
      </c>
      <c r="L113" s="116">
        <f>+J113+I113+K113</f>
        <v>6647.78</v>
      </c>
      <c r="M113" s="116">
        <f>+H113-L113</f>
        <v>73352.22</v>
      </c>
      <c r="N113" s="116">
        <f>+IF(M113*12&lt;=416220.01,0,IF(M113*12&lt;=624329.01,(((M113*12-416220.01)*0.15)/12),IF((M113*12&lt;=867123.01),(31216+0.2*(M113*12-624329.01))/12,((79776+0.25*(M113*12-867123.01))/12))))</f>
        <v>6920.9922916666665</v>
      </c>
      <c r="O113" s="116"/>
      <c r="P113" s="160">
        <v>225</v>
      </c>
      <c r="Q113" s="116">
        <f>+P113+N113+L113</f>
        <v>13793.772291666666</v>
      </c>
      <c r="R113" s="160">
        <f>+H113-Q113</f>
        <v>66206.227708333332</v>
      </c>
    </row>
    <row r="114" spans="1:18" s="111" customFormat="1" ht="39.950000000000003" customHeight="1" x14ac:dyDescent="0.2">
      <c r="A114" s="370" t="s">
        <v>100</v>
      </c>
      <c r="B114" s="371"/>
      <c r="C114" s="100"/>
      <c r="D114" s="100"/>
      <c r="E114" s="100"/>
      <c r="F114" s="100"/>
      <c r="G114" s="100"/>
      <c r="H114" s="101">
        <f t="shared" ref="H114:R114" si="47">SUM(H113:H113)</f>
        <v>80000</v>
      </c>
      <c r="I114" s="101">
        <f t="shared" si="47"/>
        <v>2296</v>
      </c>
      <c r="J114" s="101">
        <f t="shared" si="47"/>
        <v>2432</v>
      </c>
      <c r="K114" s="101">
        <f t="shared" si="47"/>
        <v>1919.78</v>
      </c>
      <c r="L114" s="101">
        <f t="shared" si="47"/>
        <v>6647.78</v>
      </c>
      <c r="M114" s="101">
        <f t="shared" si="47"/>
        <v>73352.22</v>
      </c>
      <c r="N114" s="101">
        <f t="shared" si="47"/>
        <v>6920.9922916666665</v>
      </c>
      <c r="O114" s="101">
        <f t="shared" si="47"/>
        <v>0</v>
      </c>
      <c r="P114" s="101">
        <f t="shared" si="47"/>
        <v>225</v>
      </c>
      <c r="Q114" s="101">
        <f t="shared" si="47"/>
        <v>13793.772291666666</v>
      </c>
      <c r="R114" s="101">
        <f t="shared" si="47"/>
        <v>66206.227708333332</v>
      </c>
    </row>
    <row r="115" spans="1:18" s="111" customFormat="1" ht="39.950000000000003" customHeight="1" thickBot="1" x14ac:dyDescent="0.25">
      <c r="A115" s="169"/>
      <c r="B115" s="169"/>
      <c r="C115" s="169"/>
      <c r="D115" s="169"/>
      <c r="E115" s="169"/>
      <c r="F115" s="169"/>
      <c r="G115" s="169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</row>
    <row r="116" spans="1:18" s="111" customFormat="1" ht="39.950000000000003" customHeight="1" thickBot="1" x14ac:dyDescent="0.25">
      <c r="A116" s="172" t="s">
        <v>142</v>
      </c>
      <c r="B116" s="173"/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</row>
    <row r="117" spans="1:18" s="111" customFormat="1" ht="39.950000000000003" customHeight="1" x14ac:dyDescent="0.2">
      <c r="A117" s="152">
        <f>+A113+1</f>
        <v>54</v>
      </c>
      <c r="B117" s="157" t="s">
        <v>111</v>
      </c>
      <c r="C117" s="130" t="s">
        <v>338</v>
      </c>
      <c r="D117" s="142" t="s">
        <v>170</v>
      </c>
      <c r="E117" s="153" t="s">
        <v>180</v>
      </c>
      <c r="F117" s="154" t="s">
        <v>610</v>
      </c>
      <c r="G117" s="154" t="s">
        <v>643</v>
      </c>
      <c r="H117" s="165">
        <v>155000</v>
      </c>
      <c r="I117" s="116">
        <f>H117*2.87%</f>
        <v>4448.5</v>
      </c>
      <c r="J117" s="118">
        <f>+H117*3.04%</f>
        <v>4712</v>
      </c>
      <c r="K117" s="118">
        <v>1919.78</v>
      </c>
      <c r="L117" s="118">
        <f>+J117+I117+K117</f>
        <v>11080.28</v>
      </c>
      <c r="M117" s="116">
        <f>+H117-L117</f>
        <v>143919.72</v>
      </c>
      <c r="N117" s="116">
        <f>+IF(M117*12&lt;=416220.01,0,IF(M117*12&lt;=624329.01,(((M117*12-416220.01)*0.15)/12),IF((M117*12&lt;=867123.01),(31216+0.2*(M117*12-624329.01))/12,((79776+0.25*(M117*12-867123.01))/12))))</f>
        <v>24562.867291666669</v>
      </c>
      <c r="O117" s="116"/>
      <c r="P117" s="116">
        <v>10257.290000000001</v>
      </c>
      <c r="Q117" s="116">
        <f>+P117+N117+L117</f>
        <v>45900.437291666669</v>
      </c>
      <c r="R117" s="160">
        <f>+H117-Q117</f>
        <v>109099.56270833334</v>
      </c>
    </row>
    <row r="118" spans="1:18" s="111" customFormat="1" ht="39.950000000000003" customHeight="1" x14ac:dyDescent="0.2">
      <c r="A118" s="152">
        <f>+A117+1</f>
        <v>55</v>
      </c>
      <c r="B118" s="157" t="s">
        <v>642</v>
      </c>
      <c r="C118" s="130" t="s">
        <v>339</v>
      </c>
      <c r="D118" s="142" t="s">
        <v>589</v>
      </c>
      <c r="E118" s="153" t="s">
        <v>180</v>
      </c>
      <c r="F118" s="154" t="s">
        <v>610</v>
      </c>
      <c r="G118" s="154" t="s">
        <v>643</v>
      </c>
      <c r="H118" s="165">
        <v>80000</v>
      </c>
      <c r="I118" s="116">
        <f>H118*2.87%</f>
        <v>2296</v>
      </c>
      <c r="J118" s="118">
        <f>+H118*3.04%</f>
        <v>2432</v>
      </c>
      <c r="K118" s="118">
        <v>0</v>
      </c>
      <c r="L118" s="118">
        <f>+J118+I118+K118</f>
        <v>4728</v>
      </c>
      <c r="M118" s="116">
        <f>+H118-L118</f>
        <v>75272</v>
      </c>
      <c r="N118" s="116">
        <f>+IF(M118*12&lt;=416220.01,0,IF(M118*12&lt;=624329.01,(((M118*12-416220.01)*0.15)/12),IF((M118*12&lt;=867123.01),(31216+0.2*(M118*12-624329.01))/12,((79776+0.25*(M118*12-867123.01))/12))))</f>
        <v>7400.9372916666662</v>
      </c>
      <c r="O118" s="116"/>
      <c r="P118" s="116">
        <v>225</v>
      </c>
      <c r="Q118" s="116">
        <f>+P118+N118+L118</f>
        <v>12353.937291666665</v>
      </c>
      <c r="R118" s="160">
        <f>+H118-Q118</f>
        <v>67646.062708333338</v>
      </c>
    </row>
    <row r="119" spans="1:18" s="111" customFormat="1" ht="39.950000000000003" customHeight="1" thickBot="1" x14ac:dyDescent="0.25">
      <c r="A119" s="370" t="s">
        <v>100</v>
      </c>
      <c r="B119" s="371"/>
      <c r="C119" s="100"/>
      <c r="D119" s="100"/>
      <c r="E119" s="100"/>
      <c r="F119" s="100"/>
      <c r="G119" s="100"/>
      <c r="H119" s="101">
        <f>SUM(H117:H118)</f>
        <v>235000</v>
      </c>
      <c r="I119" s="101">
        <f t="shared" ref="I119:R119" si="48">SUM(I117:I118)</f>
        <v>6744.5</v>
      </c>
      <c r="J119" s="101">
        <f t="shared" si="48"/>
        <v>7144</v>
      </c>
      <c r="K119" s="101">
        <f t="shared" si="48"/>
        <v>1919.78</v>
      </c>
      <c r="L119" s="101">
        <f t="shared" si="48"/>
        <v>15808.28</v>
      </c>
      <c r="M119" s="101">
        <f t="shared" si="48"/>
        <v>219191.72</v>
      </c>
      <c r="N119" s="101">
        <f t="shared" si="48"/>
        <v>31963.804583333334</v>
      </c>
      <c r="O119" s="101">
        <f t="shared" si="48"/>
        <v>0</v>
      </c>
      <c r="P119" s="101">
        <f t="shared" si="48"/>
        <v>10482.290000000001</v>
      </c>
      <c r="Q119" s="101">
        <f t="shared" si="48"/>
        <v>58254.374583333338</v>
      </c>
      <c r="R119" s="101">
        <f t="shared" si="48"/>
        <v>176745.62541666668</v>
      </c>
    </row>
    <row r="120" spans="1:18" s="111" customFormat="1" ht="39.950000000000003" customHeight="1" thickBot="1" x14ac:dyDescent="0.25">
      <c r="A120" s="172" t="s">
        <v>144</v>
      </c>
      <c r="B120" s="173"/>
      <c r="C120" s="173"/>
      <c r="D120" s="173"/>
      <c r="E120" s="173"/>
      <c r="F120" s="173"/>
      <c r="G120" s="319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</row>
    <row r="121" spans="1:18" s="111" customFormat="1" ht="39.950000000000003" customHeight="1" x14ac:dyDescent="0.2">
      <c r="A121" s="156">
        <f>+A118+1</f>
        <v>56</v>
      </c>
      <c r="B121" s="178" t="s">
        <v>451</v>
      </c>
      <c r="C121" s="132" t="s">
        <v>339</v>
      </c>
      <c r="D121" s="139" t="s">
        <v>589</v>
      </c>
      <c r="E121" s="175" t="s">
        <v>180</v>
      </c>
      <c r="F121" s="153" t="s">
        <v>576</v>
      </c>
      <c r="G121" s="153" t="s">
        <v>620</v>
      </c>
      <c r="H121" s="165">
        <v>80000</v>
      </c>
      <c r="I121" s="116">
        <f>H121*2.87%</f>
        <v>2296</v>
      </c>
      <c r="J121" s="116">
        <f>+H121*3.04%</f>
        <v>2432</v>
      </c>
      <c r="K121" s="116"/>
      <c r="L121" s="116">
        <f>+J121+I121+K121</f>
        <v>4728</v>
      </c>
      <c r="M121" s="116">
        <f>+H121-L121</f>
        <v>75272</v>
      </c>
      <c r="N121" s="116">
        <f>+IF(M121*12&lt;=416220.01,0,IF(M121*12&lt;=624329.01,(((M121*12-416220.01)*0.15)/12),IF((M121*12&lt;=867123.01),(31216+0.2*(M121*12-624329.01))/12,((79776+0.25*(M121*12-867123.01))/12))))-O121</f>
        <v>7400.9372916666662</v>
      </c>
      <c r="O121" s="116"/>
      <c r="P121" s="155">
        <v>2870.29</v>
      </c>
      <c r="Q121" s="116">
        <f>+P121+N121+L121</f>
        <v>14999.227291666666</v>
      </c>
      <c r="R121" s="160">
        <f>+H121-Q121</f>
        <v>65000.77270833333</v>
      </c>
    </row>
    <row r="122" spans="1:18" s="115" customFormat="1" ht="39.950000000000003" customHeight="1" thickBot="1" x14ac:dyDescent="0.25">
      <c r="A122" s="370" t="s">
        <v>100</v>
      </c>
      <c r="B122" s="371"/>
      <c r="C122" s="100"/>
      <c r="D122" s="100"/>
      <c r="E122" s="100"/>
      <c r="F122" s="100"/>
      <c r="G122" s="100"/>
      <c r="H122" s="101">
        <f t="shared" ref="H122:R122" si="49">SUM(H121:H121)</f>
        <v>80000</v>
      </c>
      <c r="I122" s="101">
        <f t="shared" si="49"/>
        <v>2296</v>
      </c>
      <c r="J122" s="101">
        <f t="shared" si="49"/>
        <v>2432</v>
      </c>
      <c r="K122" s="101">
        <f t="shared" si="49"/>
        <v>0</v>
      </c>
      <c r="L122" s="101">
        <f t="shared" si="49"/>
        <v>4728</v>
      </c>
      <c r="M122" s="101">
        <f t="shared" si="49"/>
        <v>75272</v>
      </c>
      <c r="N122" s="101">
        <f t="shared" si="49"/>
        <v>7400.9372916666662</v>
      </c>
      <c r="O122" s="101">
        <f t="shared" si="49"/>
        <v>0</v>
      </c>
      <c r="P122" s="101">
        <f t="shared" si="49"/>
        <v>2870.29</v>
      </c>
      <c r="Q122" s="101">
        <f t="shared" si="49"/>
        <v>14999.227291666666</v>
      </c>
      <c r="R122" s="101">
        <f t="shared" si="49"/>
        <v>65000.77270833333</v>
      </c>
    </row>
    <row r="123" spans="1:18" s="170" customFormat="1" ht="39.950000000000003" customHeight="1" thickBot="1" x14ac:dyDescent="0.25">
      <c r="A123" s="172" t="s">
        <v>369</v>
      </c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</row>
    <row r="124" spans="1:18" s="114" customFormat="1" ht="39.950000000000003" customHeight="1" thickBot="1" x14ac:dyDescent="0.25">
      <c r="A124" s="172" t="s">
        <v>370</v>
      </c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</row>
    <row r="125" spans="1:18" s="114" customFormat="1" ht="39.950000000000003" customHeight="1" x14ac:dyDescent="0.2">
      <c r="A125" s="152">
        <f>+A121+1</f>
        <v>57</v>
      </c>
      <c r="B125" s="179" t="s">
        <v>382</v>
      </c>
      <c r="C125" s="130" t="s">
        <v>338</v>
      </c>
      <c r="D125" s="153" t="s">
        <v>395</v>
      </c>
      <c r="E125" s="153" t="s">
        <v>180</v>
      </c>
      <c r="F125" s="154" t="s">
        <v>610</v>
      </c>
      <c r="G125" s="154" t="s">
        <v>643</v>
      </c>
      <c r="H125" s="160">
        <v>190000</v>
      </c>
      <c r="I125" s="116">
        <f>H125*2.87%</f>
        <v>5453</v>
      </c>
      <c r="J125" s="116">
        <f>+H125*3.04%</f>
        <v>5776</v>
      </c>
      <c r="K125" s="116">
        <v>1919.78</v>
      </c>
      <c r="L125" s="116">
        <f>+J125+I125+K125</f>
        <v>13148.78</v>
      </c>
      <c r="M125" s="116">
        <f>+H125-L125</f>
        <v>176851.22</v>
      </c>
      <c r="N125" s="116">
        <f>+IF(M125*12&lt;=416220.01,0,IF(M125*12&lt;=624329.01,(((M125*12-416220.01)*0.15)/12),IF((M125*12&lt;=867123.01),(31216+0.2*(M125*12-624329.01))/12,((79776+0.25*(M125*12-867123.01))/12))))-O125</f>
        <v>32795.742291666669</v>
      </c>
      <c r="O125" s="116"/>
      <c r="P125" s="160">
        <v>25</v>
      </c>
      <c r="Q125" s="116">
        <f>+P125+N125+L125</f>
        <v>45969.522291666668</v>
      </c>
      <c r="R125" s="160">
        <f>+H125-Q125</f>
        <v>144030.47770833335</v>
      </c>
    </row>
    <row r="126" spans="1:18" s="114" customFormat="1" ht="39.950000000000003" customHeight="1" x14ac:dyDescent="0.2">
      <c r="A126" s="156">
        <f>+A125+1</f>
        <v>58</v>
      </c>
      <c r="B126" s="291" t="s">
        <v>536</v>
      </c>
      <c r="C126" s="132" t="s">
        <v>339</v>
      </c>
      <c r="D126" s="175" t="s">
        <v>537</v>
      </c>
      <c r="E126" s="175" t="s">
        <v>180</v>
      </c>
      <c r="F126" s="153" t="s">
        <v>621</v>
      </c>
      <c r="G126" s="153" t="s">
        <v>654</v>
      </c>
      <c r="H126" s="155">
        <v>140000</v>
      </c>
      <c r="I126" s="116">
        <f>H126*2.87%</f>
        <v>4018</v>
      </c>
      <c r="J126" s="116">
        <f>+H126*3.04%</f>
        <v>4256</v>
      </c>
      <c r="K126" s="116">
        <v>1919.78</v>
      </c>
      <c r="L126" s="116">
        <f>+J126+I126+K126</f>
        <v>10193.780000000001</v>
      </c>
      <c r="M126" s="116">
        <f>+H126-L126</f>
        <v>129806.22</v>
      </c>
      <c r="N126" s="116">
        <f>+IF(M126*12&lt;=416220.01,0,IF(M126*12&lt;=624329.01,(((M126*12-416220.01)*0.15)/12),IF((M126*12&lt;=867123.01),(31216+0.2*(M126*12-624329.01))/12,((79776+0.25*(M126*12-867123.01))/12))))-O126</f>
        <v>21034.492291666669</v>
      </c>
      <c r="O126" s="116"/>
      <c r="P126" s="160">
        <v>105</v>
      </c>
      <c r="Q126" s="118">
        <f>+P126+N126+L126</f>
        <v>31333.272291666668</v>
      </c>
      <c r="R126" s="160">
        <f>+H126-Q126</f>
        <v>108666.72770833333</v>
      </c>
    </row>
    <row r="127" spans="1:18" s="114" customFormat="1" ht="39.950000000000003" customHeight="1" x14ac:dyDescent="0.2">
      <c r="A127" s="156">
        <f>+A126+1</f>
        <v>59</v>
      </c>
      <c r="B127" s="118" t="s">
        <v>421</v>
      </c>
      <c r="C127" s="132" t="s">
        <v>339</v>
      </c>
      <c r="D127" s="175" t="s">
        <v>589</v>
      </c>
      <c r="E127" s="175" t="s">
        <v>180</v>
      </c>
      <c r="F127" s="153" t="s">
        <v>621</v>
      </c>
      <c r="G127" s="153" t="s">
        <v>654</v>
      </c>
      <c r="H127" s="155">
        <v>100000</v>
      </c>
      <c r="I127" s="116">
        <f>H127*2.87%</f>
        <v>2870</v>
      </c>
      <c r="J127" s="116">
        <f>+H127*3.04%</f>
        <v>3040</v>
      </c>
      <c r="K127" s="116"/>
      <c r="L127" s="116">
        <f>+J127+I127+K127</f>
        <v>5910</v>
      </c>
      <c r="M127" s="116">
        <f>+H127-L127</f>
        <v>94090</v>
      </c>
      <c r="N127" s="116">
        <f>+IF(M127*12&lt;=416220.01,0,IF(M127*12&lt;=624329.01,(((M127*12-416220.01)*0.15)/12),IF((M127*12&lt;=867123.01),(31216+0.2*(M127*12-624329.01))/12,((79776+0.25*(M127*12-867123.01))/12))))-O127</f>
        <v>12105.437291666667</v>
      </c>
      <c r="O127" s="116">
        <v>0</v>
      </c>
      <c r="P127" s="160">
        <v>25</v>
      </c>
      <c r="Q127" s="118">
        <f>+P127+N127+L127</f>
        <v>18040.437291666669</v>
      </c>
      <c r="R127" s="160">
        <f>+H127-Q127</f>
        <v>81959.562708333338</v>
      </c>
    </row>
    <row r="128" spans="1:18" s="114" customFormat="1" ht="39.950000000000003" customHeight="1" x14ac:dyDescent="0.2">
      <c r="A128" s="152">
        <f>+A127+1</f>
        <v>60</v>
      </c>
      <c r="B128" s="116" t="s">
        <v>171</v>
      </c>
      <c r="C128" s="130" t="s">
        <v>339</v>
      </c>
      <c r="D128" s="153" t="s">
        <v>589</v>
      </c>
      <c r="E128" s="153" t="s">
        <v>180</v>
      </c>
      <c r="F128" s="153" t="s">
        <v>621</v>
      </c>
      <c r="G128" s="153" t="s">
        <v>654</v>
      </c>
      <c r="H128" s="160">
        <v>80000</v>
      </c>
      <c r="I128" s="116">
        <f>H128*2.87%</f>
        <v>2296</v>
      </c>
      <c r="J128" s="116">
        <f>+H128*3.04%</f>
        <v>2432</v>
      </c>
      <c r="K128" s="116">
        <v>1919.78</v>
      </c>
      <c r="L128" s="116">
        <f>+J128+I128+K128</f>
        <v>6647.78</v>
      </c>
      <c r="M128" s="116">
        <f>+H128-L128</f>
        <v>73352.22</v>
      </c>
      <c r="N128" s="116">
        <f>+IF(M128*12&lt;=416220.01,0,IF(M128*12&lt;=624329.01,(((M128*12-416220.01)*0.15)/12),IF((M128*12&lt;=867123.01),(31216+0.2*(M128*12-624329.01))/12,((79776+0.25*(M128*12-867123.01))/12))))-O128</f>
        <v>6920.9922916666665</v>
      </c>
      <c r="O128" s="116"/>
      <c r="P128" s="160">
        <v>1290.29</v>
      </c>
      <c r="Q128" s="116">
        <f>+P128+K128+J128+I128+N128</f>
        <v>14859.062291666665</v>
      </c>
      <c r="R128" s="160">
        <f>+H128-Q128</f>
        <v>65140.937708333338</v>
      </c>
    </row>
    <row r="129" spans="1:18" s="114" customFormat="1" ht="39.950000000000003" customHeight="1" x14ac:dyDescent="0.2">
      <c r="A129" s="370" t="s">
        <v>100</v>
      </c>
      <c r="B129" s="371"/>
      <c r="C129" s="100"/>
      <c r="D129" s="100"/>
      <c r="E129" s="100"/>
      <c r="F129" s="100"/>
      <c r="G129" s="100"/>
      <c r="H129" s="101">
        <f t="shared" ref="H129:O129" si="50">SUM(H125:H128)</f>
        <v>510000</v>
      </c>
      <c r="I129" s="101">
        <f t="shared" si="50"/>
        <v>14637</v>
      </c>
      <c r="J129" s="101">
        <f t="shared" si="50"/>
        <v>15504</v>
      </c>
      <c r="K129" s="101">
        <f t="shared" si="50"/>
        <v>5759.34</v>
      </c>
      <c r="L129" s="101">
        <f t="shared" si="50"/>
        <v>35900.340000000004</v>
      </c>
      <c r="M129" s="101">
        <f t="shared" si="50"/>
        <v>474099.66000000003</v>
      </c>
      <c r="N129" s="101">
        <f t="shared" si="50"/>
        <v>72856.664166666669</v>
      </c>
      <c r="O129" s="101">
        <f t="shared" si="50"/>
        <v>0</v>
      </c>
      <c r="P129" s="101">
        <f>SUM(P125:P128)</f>
        <v>1445.29</v>
      </c>
      <c r="Q129" s="101">
        <f t="shared" ref="Q129:R129" si="51">SUM(Q125:Q128)</f>
        <v>110202.29416666666</v>
      </c>
      <c r="R129" s="101">
        <f t="shared" si="51"/>
        <v>399797.70583333343</v>
      </c>
    </row>
    <row r="130" spans="1:18" s="114" customFormat="1" ht="39.950000000000003" customHeight="1" x14ac:dyDescent="0.2">
      <c r="A130" s="169"/>
      <c r="B130" s="169"/>
      <c r="C130" s="169"/>
      <c r="D130" s="169"/>
      <c r="E130" s="169"/>
      <c r="F130" s="169"/>
      <c r="G130" s="169"/>
    </row>
    <row r="131" spans="1:18" s="114" customFormat="1" ht="39.950000000000003" customHeight="1" thickBot="1" x14ac:dyDescent="0.25">
      <c r="A131" s="169"/>
      <c r="B131" s="169"/>
      <c r="C131" s="169"/>
      <c r="D131" s="169"/>
      <c r="E131" s="169"/>
      <c r="F131" s="169"/>
      <c r="G131" s="169"/>
    </row>
    <row r="132" spans="1:18" s="114" customFormat="1" ht="39.950000000000003" customHeight="1" thickBot="1" x14ac:dyDescent="0.25">
      <c r="A132" s="172" t="s">
        <v>307</v>
      </c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</row>
    <row r="133" spans="1:18" s="114" customFormat="1" ht="39.950000000000003" customHeight="1" x14ac:dyDescent="0.2">
      <c r="A133" s="152">
        <f>+A128+1</f>
        <v>61</v>
      </c>
      <c r="B133" s="116" t="s">
        <v>552</v>
      </c>
      <c r="C133" s="130" t="s">
        <v>338</v>
      </c>
      <c r="D133" s="153" t="s">
        <v>106</v>
      </c>
      <c r="E133" s="153" t="s">
        <v>180</v>
      </c>
      <c r="F133" s="153" t="s">
        <v>588</v>
      </c>
      <c r="G133" s="153" t="s">
        <v>632</v>
      </c>
      <c r="H133" s="160">
        <v>50000</v>
      </c>
      <c r="I133" s="118">
        <f>H133*2.87%</f>
        <v>1435</v>
      </c>
      <c r="J133" s="118">
        <f>+H133*3.04%</f>
        <v>1520</v>
      </c>
      <c r="K133" s="118"/>
      <c r="L133" s="116">
        <f>+J133+I133+K133</f>
        <v>2955</v>
      </c>
      <c r="M133" s="116">
        <f>+H133-L133</f>
        <v>47045</v>
      </c>
      <c r="N133" s="116">
        <f>+IF(M133*12&lt;=416220.01,0,IF(M133*12&lt;=624329.01,(((M133*12-416220.01)*0.15)/12),IF((M133*12&lt;=867123.01),(31216+0.2*(M133*12-624329.01))/12,((79776+0.25*(M133*12-867123.01))/12))))-O133</f>
        <v>1853.9998749999997</v>
      </c>
      <c r="O133" s="116"/>
      <c r="P133" s="155">
        <v>3397.22</v>
      </c>
      <c r="Q133" s="116">
        <f>+P133+N133+L133</f>
        <v>8206.2198749999989</v>
      </c>
      <c r="R133" s="155">
        <f>+H133-Q133</f>
        <v>41793.780125000005</v>
      </c>
    </row>
    <row r="134" spans="1:18" s="114" customFormat="1" ht="39.950000000000003" customHeight="1" x14ac:dyDescent="0.2">
      <c r="A134" s="152">
        <f>+A133+1</f>
        <v>62</v>
      </c>
      <c r="B134" s="116" t="s">
        <v>596</v>
      </c>
      <c r="C134" s="130" t="s">
        <v>339</v>
      </c>
      <c r="D134" s="153" t="s">
        <v>106</v>
      </c>
      <c r="E134" s="153" t="s">
        <v>180</v>
      </c>
      <c r="F134" s="158" t="s">
        <v>599</v>
      </c>
      <c r="G134" s="158" t="s">
        <v>636</v>
      </c>
      <c r="H134" s="160">
        <v>50000</v>
      </c>
      <c r="I134" s="118">
        <f>H134*2.87%</f>
        <v>1435</v>
      </c>
      <c r="J134" s="118">
        <f>+H134*3.04%</f>
        <v>1520</v>
      </c>
      <c r="K134" s="118"/>
      <c r="L134" s="116">
        <f>+J134+I134+K134</f>
        <v>2955</v>
      </c>
      <c r="M134" s="116">
        <f>+H134-L134</f>
        <v>47045</v>
      </c>
      <c r="N134" s="116">
        <f>+IF(M134*12&lt;=416220.01,0,IF(M134*12&lt;=624329.01,(((M134*12-416220.01)*0.15)/12),IF((M134*12&lt;=867123.01),(31216+0.2*(M134*12-624329.01))/12,((79776+0.25*(M134*12-867123.01))/12))))-O134</f>
        <v>1853.9998749999997</v>
      </c>
      <c r="O134" s="116"/>
      <c r="P134" s="155">
        <v>2290.29</v>
      </c>
      <c r="Q134" s="116">
        <f>+P134+N134+L134</f>
        <v>7099.2898749999995</v>
      </c>
      <c r="R134" s="155">
        <f>+H134-Q134</f>
        <v>42900.710124999998</v>
      </c>
    </row>
    <row r="135" spans="1:18" s="111" customFormat="1" ht="39.950000000000003" customHeight="1" x14ac:dyDescent="0.2">
      <c r="A135" s="370" t="s">
        <v>100</v>
      </c>
      <c r="B135" s="371"/>
      <c r="C135" s="100"/>
      <c r="D135" s="100"/>
      <c r="E135" s="100"/>
      <c r="F135" s="100"/>
      <c r="G135" s="100"/>
      <c r="H135" s="101">
        <f t="shared" ref="H135:R135" si="52">SUM(H133:H134)</f>
        <v>100000</v>
      </c>
      <c r="I135" s="101">
        <f t="shared" si="52"/>
        <v>2870</v>
      </c>
      <c r="J135" s="101">
        <f t="shared" si="52"/>
        <v>3040</v>
      </c>
      <c r="K135" s="101">
        <f t="shared" si="52"/>
        <v>0</v>
      </c>
      <c r="L135" s="101">
        <f t="shared" si="52"/>
        <v>5910</v>
      </c>
      <c r="M135" s="101">
        <f t="shared" si="52"/>
        <v>94090</v>
      </c>
      <c r="N135" s="101">
        <f t="shared" si="52"/>
        <v>3707.9997499999995</v>
      </c>
      <c r="O135" s="101">
        <f t="shared" si="52"/>
        <v>0</v>
      </c>
      <c r="P135" s="101">
        <f t="shared" si="52"/>
        <v>5687.51</v>
      </c>
      <c r="Q135" s="101">
        <f t="shared" si="52"/>
        <v>15305.509749999997</v>
      </c>
      <c r="R135" s="101">
        <f t="shared" si="52"/>
        <v>84694.490250000003</v>
      </c>
    </row>
    <row r="136" spans="1:18" s="111" customFormat="1" ht="39.950000000000003" customHeight="1" thickBot="1" x14ac:dyDescent="0.25">
      <c r="A136" s="169"/>
      <c r="B136" s="169"/>
      <c r="C136" s="169"/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</row>
    <row r="137" spans="1:18" s="114" customFormat="1" ht="39.950000000000003" customHeight="1" thickBot="1" x14ac:dyDescent="0.25">
      <c r="A137" s="172" t="s">
        <v>307</v>
      </c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</row>
    <row r="138" spans="1:18" s="114" customFormat="1" ht="39.950000000000003" customHeight="1" x14ac:dyDescent="0.2">
      <c r="A138" s="152">
        <f>+A134+1</f>
        <v>63</v>
      </c>
      <c r="B138" s="116" t="s">
        <v>399</v>
      </c>
      <c r="C138" s="130" t="s">
        <v>339</v>
      </c>
      <c r="D138" s="153" t="s">
        <v>625</v>
      </c>
      <c r="E138" s="153" t="s">
        <v>180</v>
      </c>
      <c r="F138" s="153" t="s">
        <v>576</v>
      </c>
      <c r="G138" s="153" t="s">
        <v>620</v>
      </c>
      <c r="H138" s="160">
        <v>80000</v>
      </c>
      <c r="I138" s="118">
        <f>H138*2.87%</f>
        <v>2296</v>
      </c>
      <c r="J138" s="118">
        <f>+H138*3.04%</f>
        <v>2432</v>
      </c>
      <c r="K138" s="118"/>
      <c r="L138" s="116">
        <f>+J138+I138+K138</f>
        <v>4728</v>
      </c>
      <c r="M138" s="116">
        <f>+H138-L138</f>
        <v>75272</v>
      </c>
      <c r="N138" s="116">
        <f>+IF(M138*12&lt;=416220.01,0,IF(M138*12&lt;=624329.01,(((M138*12-416220.01)*0.15)/12),IF((M138*12&lt;=867123.01),(31216+0.2*(M138*12-624329.01))/12,((79776+0.25*(M138*12-867123.01))/12))))-O138</f>
        <v>7400.9372916666662</v>
      </c>
      <c r="O138" s="116"/>
      <c r="P138" s="155">
        <v>25</v>
      </c>
      <c r="Q138" s="116">
        <f>+P138+N138+L138</f>
        <v>12153.937291666665</v>
      </c>
      <c r="R138" s="155">
        <f>+H138-Q138</f>
        <v>67846.062708333338</v>
      </c>
    </row>
    <row r="139" spans="1:18" s="114" customFormat="1" ht="39.950000000000003" customHeight="1" x14ac:dyDescent="0.2">
      <c r="A139" s="152">
        <f>+A138+1</f>
        <v>64</v>
      </c>
      <c r="B139" s="116" t="s">
        <v>476</v>
      </c>
      <c r="C139" s="130" t="s">
        <v>339</v>
      </c>
      <c r="D139" s="153" t="s">
        <v>625</v>
      </c>
      <c r="E139" s="153" t="s">
        <v>180</v>
      </c>
      <c r="F139" s="153" t="s">
        <v>594</v>
      </c>
      <c r="G139" s="158" t="s">
        <v>599</v>
      </c>
      <c r="H139" s="160">
        <v>80000</v>
      </c>
      <c r="I139" s="118">
        <f>H139*2.87%</f>
        <v>2296</v>
      </c>
      <c r="J139" s="118">
        <f>+H139*3.04%</f>
        <v>2432</v>
      </c>
      <c r="K139" s="118">
        <v>1919.78</v>
      </c>
      <c r="L139" s="116">
        <f>+J139+I139+K139</f>
        <v>6647.78</v>
      </c>
      <c r="M139" s="116">
        <f>+H139-L139</f>
        <v>73352.22</v>
      </c>
      <c r="N139" s="116">
        <f>+IF(M139*12&lt;=416220.01,0,IF(M139*12&lt;=624329.01,(((M139*12-416220.01)*0.15)/12),IF((M139*12&lt;=867123.01),(31216+0.2*(M139*12-624329.01))/12,((79776+0.25*(M139*12-867123.01))/12))))-O139</f>
        <v>6920.9922916666665</v>
      </c>
      <c r="O139" s="116"/>
      <c r="P139" s="155">
        <v>25</v>
      </c>
      <c r="Q139" s="116">
        <f>+P139+N139+L139</f>
        <v>13593.772291666666</v>
      </c>
      <c r="R139" s="155">
        <f>+H139-Q139</f>
        <v>66406.227708333332</v>
      </c>
    </row>
    <row r="140" spans="1:18" s="111" customFormat="1" ht="39.950000000000003" customHeight="1" x14ac:dyDescent="0.2">
      <c r="A140" s="370" t="s">
        <v>100</v>
      </c>
      <c r="B140" s="371"/>
      <c r="C140" s="100"/>
      <c r="D140" s="100"/>
      <c r="E140" s="100"/>
      <c r="F140" s="100"/>
      <c r="G140" s="100"/>
      <c r="H140" s="101">
        <f t="shared" ref="H140:R140" si="53">SUM(H138:H139)</f>
        <v>160000</v>
      </c>
      <c r="I140" s="101">
        <f t="shared" si="53"/>
        <v>4592</v>
      </c>
      <c r="J140" s="101">
        <f t="shared" si="53"/>
        <v>4864</v>
      </c>
      <c r="K140" s="101">
        <f t="shared" si="53"/>
        <v>1919.78</v>
      </c>
      <c r="L140" s="101">
        <f t="shared" si="53"/>
        <v>11375.779999999999</v>
      </c>
      <c r="M140" s="101">
        <f t="shared" si="53"/>
        <v>148624.22</v>
      </c>
      <c r="N140" s="101">
        <f t="shared" si="53"/>
        <v>14321.929583333333</v>
      </c>
      <c r="O140" s="101">
        <f t="shared" si="53"/>
        <v>0</v>
      </c>
      <c r="P140" s="101">
        <f t="shared" si="53"/>
        <v>50</v>
      </c>
      <c r="Q140" s="101">
        <f t="shared" si="53"/>
        <v>25747.70958333333</v>
      </c>
      <c r="R140" s="101">
        <f t="shared" si="53"/>
        <v>134252.29041666666</v>
      </c>
    </row>
    <row r="141" spans="1:18" s="115" customFormat="1" ht="39.950000000000003" customHeight="1" thickBot="1" x14ac:dyDescent="0.25">
      <c r="A141" s="174"/>
      <c r="B141" s="174"/>
      <c r="C141" s="174"/>
      <c r="D141" s="174"/>
      <c r="E141" s="174"/>
      <c r="F141" s="174"/>
      <c r="G141" s="174"/>
      <c r="H141" s="170"/>
      <c r="I141" s="170"/>
      <c r="J141" s="170"/>
      <c r="K141" s="170"/>
      <c r="L141" s="170"/>
      <c r="M141" s="170"/>
      <c r="N141" s="170"/>
      <c r="O141" s="170"/>
      <c r="P141" s="170"/>
      <c r="Q141" s="170"/>
      <c r="R141" s="170"/>
    </row>
    <row r="142" spans="1:18" s="115" customFormat="1" ht="39.950000000000003" customHeight="1" x14ac:dyDescent="0.2">
      <c r="A142" s="180" t="s">
        <v>390</v>
      </c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</row>
    <row r="143" spans="1:18" s="115" customFormat="1" ht="39.950000000000003" customHeight="1" x14ac:dyDescent="0.2">
      <c r="A143" s="108">
        <f>+A139+1</f>
        <v>65</v>
      </c>
      <c r="B143" s="109" t="s">
        <v>398</v>
      </c>
      <c r="C143" s="103" t="s">
        <v>339</v>
      </c>
      <c r="D143" s="104" t="s">
        <v>72</v>
      </c>
      <c r="E143" s="102" t="s">
        <v>180</v>
      </c>
      <c r="F143" s="107" t="s">
        <v>576</v>
      </c>
      <c r="G143" s="107" t="s">
        <v>620</v>
      </c>
      <c r="H143" s="105">
        <v>100000</v>
      </c>
      <c r="I143" s="97">
        <f>H143*2.87%</f>
        <v>2870</v>
      </c>
      <c r="J143" s="97">
        <f>+H143*3.04%</f>
        <v>3040</v>
      </c>
      <c r="K143" s="97">
        <f>1919.78*2</f>
        <v>3839.56</v>
      </c>
      <c r="L143" s="105">
        <f>+J143+I143+K143</f>
        <v>9749.56</v>
      </c>
      <c r="M143" s="105">
        <f>+H143-L143</f>
        <v>90250.44</v>
      </c>
      <c r="N143" s="105">
        <f>+IF(M143*12&lt;=416220.01,0,IF(M143*12&lt;=624329.01,(((M143*12-416220.01)*0.15)/12),IF((M143*12&lt;=867123.01),(31216+0.2*(M143*12-624329.01))/12,((79776+0.25*(M143*12-867123.01))/12))))-O143</f>
        <v>11145.547291666668</v>
      </c>
      <c r="O143" s="105"/>
      <c r="P143" s="117">
        <v>3240.18</v>
      </c>
      <c r="Q143" s="105">
        <f>+P143+N143+L143</f>
        <v>24135.287291666667</v>
      </c>
      <c r="R143" s="163">
        <f>+H143-Q143</f>
        <v>75864.712708333333</v>
      </c>
    </row>
    <row r="144" spans="1:18" s="115" customFormat="1" ht="39.950000000000003" customHeight="1" x14ac:dyDescent="0.2">
      <c r="A144" s="108">
        <f>+A143+1</f>
        <v>66</v>
      </c>
      <c r="B144" s="109" t="s">
        <v>477</v>
      </c>
      <c r="C144" s="103" t="s">
        <v>339</v>
      </c>
      <c r="D144" s="104" t="s">
        <v>560</v>
      </c>
      <c r="E144" s="102" t="s">
        <v>180</v>
      </c>
      <c r="F144" s="153" t="s">
        <v>599</v>
      </c>
      <c r="G144" s="153" t="s">
        <v>648</v>
      </c>
      <c r="H144" s="105">
        <v>90000</v>
      </c>
      <c r="I144" s="97">
        <f>H144*2.87%</f>
        <v>2583</v>
      </c>
      <c r="J144" s="97">
        <f>+H144*3.04%</f>
        <v>2736</v>
      </c>
      <c r="K144" s="97"/>
      <c r="L144" s="105">
        <f>+J144+I144+K144</f>
        <v>5319</v>
      </c>
      <c r="M144" s="105">
        <f>+H144-L144</f>
        <v>84681</v>
      </c>
      <c r="N144" s="116">
        <f>+IF(M144*12&lt;=416220.01,0,IF(M144*12&lt;=624329.01,(((M144*12-416220.01)*0.15)/12),IF((M144*12&lt;=867123.01),(31216+0.2*(M144*12-624329.01))/12,((79776+0.25*(M144*12-867123.01))/12))))-O144</f>
        <v>9753.1872916666671</v>
      </c>
      <c r="O144" s="105"/>
      <c r="P144" s="163">
        <v>25</v>
      </c>
      <c r="Q144" s="105">
        <f>+P144+N144+L144</f>
        <v>15097.187291666667</v>
      </c>
      <c r="R144" s="163">
        <f>+H144-Q144</f>
        <v>74902.812708333338</v>
      </c>
    </row>
    <row r="145" spans="1:18" s="115" customFormat="1" ht="39.950000000000003" customHeight="1" thickBot="1" x14ac:dyDescent="0.25">
      <c r="A145" s="370" t="s">
        <v>100</v>
      </c>
      <c r="B145" s="371"/>
      <c r="C145" s="100"/>
      <c r="D145" s="100"/>
      <c r="E145" s="100"/>
      <c r="F145" s="100"/>
      <c r="G145" s="100"/>
      <c r="H145" s="101">
        <f>SUM(H143:H144)</f>
        <v>190000</v>
      </c>
      <c r="I145" s="101">
        <f t="shared" ref="I145:R145" si="54">SUM(I143:I144)</f>
        <v>5453</v>
      </c>
      <c r="J145" s="101">
        <f t="shared" si="54"/>
        <v>5776</v>
      </c>
      <c r="K145" s="101">
        <f t="shared" si="54"/>
        <v>3839.56</v>
      </c>
      <c r="L145" s="101">
        <f t="shared" si="54"/>
        <v>15068.56</v>
      </c>
      <c r="M145" s="101">
        <f t="shared" si="54"/>
        <v>174931.44</v>
      </c>
      <c r="N145" s="101">
        <f t="shared" si="54"/>
        <v>20898.734583333335</v>
      </c>
      <c r="O145" s="101">
        <f t="shared" si="54"/>
        <v>0</v>
      </c>
      <c r="P145" s="101">
        <f t="shared" si="54"/>
        <v>3265.18</v>
      </c>
      <c r="Q145" s="101">
        <f t="shared" si="54"/>
        <v>39232.474583333336</v>
      </c>
      <c r="R145" s="101">
        <f t="shared" si="54"/>
        <v>150767.52541666667</v>
      </c>
    </row>
    <row r="146" spans="1:18" s="111" customFormat="1" ht="39.950000000000003" customHeight="1" x14ac:dyDescent="0.2">
      <c r="A146" s="180" t="s">
        <v>538</v>
      </c>
      <c r="B146" s="181"/>
      <c r="C146" s="181"/>
      <c r="D146" s="181"/>
      <c r="E146" s="181"/>
      <c r="F146" s="181"/>
      <c r="G146" s="320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</row>
    <row r="147" spans="1:18" s="111" customFormat="1" ht="39.950000000000003" customHeight="1" x14ac:dyDescent="0.2">
      <c r="A147" s="108">
        <f>+A144+1</f>
        <v>67</v>
      </c>
      <c r="B147" s="140" t="s">
        <v>402</v>
      </c>
      <c r="C147" s="108" t="s">
        <v>338</v>
      </c>
      <c r="D147" s="142" t="s">
        <v>371</v>
      </c>
      <c r="E147" s="107" t="s">
        <v>180</v>
      </c>
      <c r="F147" s="107" t="s">
        <v>588</v>
      </c>
      <c r="G147" s="107" t="s">
        <v>632</v>
      </c>
      <c r="H147" s="165">
        <v>80000</v>
      </c>
      <c r="I147" s="105">
        <f>H147*2.87%</f>
        <v>2296</v>
      </c>
      <c r="J147" s="105">
        <f>+H147*3.04%</f>
        <v>2432</v>
      </c>
      <c r="K147" s="105"/>
      <c r="L147" s="105">
        <f>+J147+I147+K147</f>
        <v>4728</v>
      </c>
      <c r="M147" s="105">
        <f>+H147-L147</f>
        <v>75272</v>
      </c>
      <c r="N147" s="105">
        <f>+IF(M147*12&lt;=416220.01,0,IF(M147*12&lt;=624329.01,(((M147*12-416220.01)*0.15)/12),IF((M147*12&lt;=867123.01),(31216+0.2*(M147*12-624329.01))/12,((79776+0.25*(M147*12-867123.01))/12))))-O147</f>
        <v>7400.9372916666662</v>
      </c>
      <c r="O147" s="105"/>
      <c r="P147" s="117">
        <v>225</v>
      </c>
      <c r="Q147" s="97">
        <f>+P147+N147+L147</f>
        <v>12353.937291666665</v>
      </c>
      <c r="R147" s="163">
        <f>H147-Q147</f>
        <v>67646.062708333338</v>
      </c>
    </row>
    <row r="148" spans="1:18" s="111" customFormat="1" ht="39.950000000000003" customHeight="1" x14ac:dyDescent="0.2">
      <c r="A148" s="108">
        <f>+A147+1</f>
        <v>68</v>
      </c>
      <c r="B148" s="140" t="s">
        <v>542</v>
      </c>
      <c r="C148" s="108" t="s">
        <v>338</v>
      </c>
      <c r="D148" s="142" t="s">
        <v>371</v>
      </c>
      <c r="E148" s="153" t="s">
        <v>180</v>
      </c>
      <c r="F148" s="107" t="s">
        <v>576</v>
      </c>
      <c r="G148" s="107" t="s">
        <v>620</v>
      </c>
      <c r="H148" s="165">
        <v>80000</v>
      </c>
      <c r="I148" s="105">
        <f>H148*2.87%</f>
        <v>2296</v>
      </c>
      <c r="J148" s="105">
        <f>+H148*3.04%</f>
        <v>2432</v>
      </c>
      <c r="K148" s="105">
        <v>1919.78</v>
      </c>
      <c r="L148" s="116">
        <f>+J148+I148+K148</f>
        <v>6647.78</v>
      </c>
      <c r="M148" s="116">
        <f>+H148-L148</f>
        <v>73352.22</v>
      </c>
      <c r="N148" s="105">
        <f>+IF(M148*12&lt;=416220.01,0,IF(M148*12&lt;=624329.01,(((M148*12-416220.01)*0.15)/12),IF((M148*12&lt;=867123.01),(31216+0.2*(M148*12-624329.01))/12,((79776+0.25*(M148*12-867123.01))/12))))-O148</f>
        <v>6920.9922916666665</v>
      </c>
      <c r="O148" s="116"/>
      <c r="P148" s="160">
        <v>6290.29</v>
      </c>
      <c r="Q148" s="118">
        <f>+P148+N148+L148</f>
        <v>19859.062291666665</v>
      </c>
      <c r="R148" s="155">
        <f>H148-Q148</f>
        <v>60140.937708333338</v>
      </c>
    </row>
    <row r="149" spans="1:18" s="115" customFormat="1" ht="39.950000000000003" customHeight="1" x14ac:dyDescent="0.2">
      <c r="A149" s="370" t="s">
        <v>100</v>
      </c>
      <c r="B149" s="371"/>
      <c r="C149" s="100"/>
      <c r="D149" s="100"/>
      <c r="E149" s="100"/>
      <c r="F149" s="100"/>
      <c r="G149" s="100"/>
      <c r="H149" s="101">
        <f t="shared" ref="H149:R149" si="55">SUM(H147:H148)</f>
        <v>160000</v>
      </c>
      <c r="I149" s="101">
        <f t="shared" si="55"/>
        <v>4592</v>
      </c>
      <c r="J149" s="101">
        <f t="shared" si="55"/>
        <v>4864</v>
      </c>
      <c r="K149" s="101">
        <f t="shared" si="55"/>
        <v>1919.78</v>
      </c>
      <c r="L149" s="101">
        <f t="shared" si="55"/>
        <v>11375.779999999999</v>
      </c>
      <c r="M149" s="101">
        <f t="shared" si="55"/>
        <v>148624.22</v>
      </c>
      <c r="N149" s="101">
        <f t="shared" si="55"/>
        <v>14321.929583333333</v>
      </c>
      <c r="O149" s="101">
        <f t="shared" si="55"/>
        <v>0</v>
      </c>
      <c r="P149" s="101">
        <f t="shared" si="55"/>
        <v>6515.29</v>
      </c>
      <c r="Q149" s="101">
        <f t="shared" si="55"/>
        <v>32212.999583333331</v>
      </c>
      <c r="R149" s="101">
        <f t="shared" si="55"/>
        <v>127787.00041666668</v>
      </c>
    </row>
    <row r="150" spans="1:18" s="182" customFormat="1" ht="39.950000000000003" customHeight="1" thickBot="1" x14ac:dyDescent="0.25">
      <c r="A150" s="169"/>
      <c r="B150" s="169"/>
      <c r="C150" s="169"/>
      <c r="D150" s="169"/>
      <c r="E150" s="169"/>
      <c r="F150" s="169"/>
      <c r="G150" s="169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</row>
    <row r="151" spans="1:18" s="182" customFormat="1" ht="39.950000000000003" customHeight="1" thickBot="1" x14ac:dyDescent="0.25">
      <c r="A151" s="172" t="s">
        <v>251</v>
      </c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</row>
    <row r="152" spans="1:18" s="182" customFormat="1" ht="39.950000000000003" customHeight="1" x14ac:dyDescent="0.2">
      <c r="A152" s="156">
        <f>+A148+1</f>
        <v>69</v>
      </c>
      <c r="B152" s="164" t="s">
        <v>105</v>
      </c>
      <c r="C152" s="152" t="s">
        <v>338</v>
      </c>
      <c r="D152" s="153" t="s">
        <v>104</v>
      </c>
      <c r="E152" s="153" t="s">
        <v>180</v>
      </c>
      <c r="F152" s="153" t="s">
        <v>621</v>
      </c>
      <c r="G152" s="153" t="s">
        <v>654</v>
      </c>
      <c r="H152" s="160">
        <v>190000</v>
      </c>
      <c r="I152" s="118">
        <f>H152*2.87%</f>
        <v>5453</v>
      </c>
      <c r="J152" s="105">
        <v>5776</v>
      </c>
      <c r="K152" s="105"/>
      <c r="L152" s="116">
        <f>+J152+I152+K152</f>
        <v>11229</v>
      </c>
      <c r="M152" s="116">
        <f>+H152-L152</f>
        <v>178771</v>
      </c>
      <c r="N152" s="116">
        <f>+IF(M152*12&lt;=416220.01,0,IF(M152*12&lt;=624329.01,(((M152*12-416220.01)*0.15)/12),IF((M152*12&lt;=867123.01),(31216+0.2*(M152*12-624329.01))/12,((79776+0.25*(M152*12-867123.01))/12))))-O152</f>
        <v>33275.687291666669</v>
      </c>
      <c r="O152" s="116"/>
      <c r="P152" s="155">
        <v>25</v>
      </c>
      <c r="Q152" s="116">
        <f>+P152+N152+L152</f>
        <v>44529.687291666669</v>
      </c>
      <c r="R152" s="155">
        <f>+H152-Q152</f>
        <v>145470.31270833334</v>
      </c>
    </row>
    <row r="153" spans="1:18" s="182" customFormat="1" ht="39.950000000000003" customHeight="1" x14ac:dyDescent="0.2">
      <c r="A153" s="156">
        <f>+A152+1</f>
        <v>70</v>
      </c>
      <c r="B153" s="102" t="s">
        <v>553</v>
      </c>
      <c r="C153" s="131" t="s">
        <v>339</v>
      </c>
      <c r="D153" s="102" t="s">
        <v>496</v>
      </c>
      <c r="E153" s="175" t="s">
        <v>180</v>
      </c>
      <c r="F153" s="153" t="s">
        <v>588</v>
      </c>
      <c r="G153" s="153" t="s">
        <v>632</v>
      </c>
      <c r="H153" s="118">
        <v>110000</v>
      </c>
      <c r="I153" s="118">
        <f>H153*2.87%</f>
        <v>3157</v>
      </c>
      <c r="J153" s="118">
        <f>+H153*3.04%</f>
        <v>3344</v>
      </c>
      <c r="K153" s="118"/>
      <c r="L153" s="116">
        <f>+J153+I153+K153</f>
        <v>6501</v>
      </c>
      <c r="M153" s="116">
        <f>+H153-L153</f>
        <v>103499</v>
      </c>
      <c r="N153" s="116">
        <f>+IF(M153*12&lt;=416220.01,0,IF(M153*12&lt;=624329.01,(((M153*12-416220.01)*0.15)/12),IF((M153*12&lt;=867123.01),(31216+0.2*(M153*12-624329.01))/12,((79776+0.25*(M153*12-867123.01))/12))))-O153</f>
        <v>14457.687291666667</v>
      </c>
      <c r="O153" s="116"/>
      <c r="P153" s="155">
        <v>25</v>
      </c>
      <c r="Q153" s="116">
        <f>+P153+N153+L153</f>
        <v>20983.687291666669</v>
      </c>
      <c r="R153" s="155">
        <f>+H153-Q153</f>
        <v>89016.312708333338</v>
      </c>
    </row>
    <row r="154" spans="1:18" s="115" customFormat="1" ht="39.950000000000003" customHeight="1" x14ac:dyDescent="0.2">
      <c r="A154" s="156">
        <f>+A153+1</f>
        <v>71</v>
      </c>
      <c r="B154" s="102" t="s">
        <v>457</v>
      </c>
      <c r="C154" s="131" t="s">
        <v>338</v>
      </c>
      <c r="D154" s="102" t="s">
        <v>496</v>
      </c>
      <c r="E154" s="175" t="s">
        <v>180</v>
      </c>
      <c r="F154" s="153" t="s">
        <v>576</v>
      </c>
      <c r="G154" s="153" t="s">
        <v>620</v>
      </c>
      <c r="H154" s="118">
        <v>100000</v>
      </c>
      <c r="I154" s="118">
        <f>H154*2.87%</f>
        <v>2870</v>
      </c>
      <c r="J154" s="118">
        <f>+H154*3.04%</f>
        <v>3040</v>
      </c>
      <c r="K154" s="118">
        <v>0</v>
      </c>
      <c r="L154" s="116">
        <f>+J154+I154+K154</f>
        <v>5910</v>
      </c>
      <c r="M154" s="116">
        <f>+H154-L154</f>
        <v>94090</v>
      </c>
      <c r="N154" s="116">
        <f>+IF(M154*12&lt;=416220.01,0,IF(M154*12&lt;=624329.01,(((M154*12-416220.01)*0.15)/12),IF((M154*12&lt;=867123.01),(31216+0.2*(M154*12-624329.01))/12,((79776+0.25*(M154*12-867123.01))/12))))-O154</f>
        <v>12105.437291666667</v>
      </c>
      <c r="O154" s="116">
        <v>0</v>
      </c>
      <c r="P154" s="155">
        <v>25</v>
      </c>
      <c r="Q154" s="116">
        <f>+P154+N154+L154</f>
        <v>18040.437291666669</v>
      </c>
      <c r="R154" s="155">
        <f>+H154-Q154</f>
        <v>81959.562708333338</v>
      </c>
    </row>
    <row r="155" spans="1:18" s="114" customFormat="1" ht="39.950000000000003" customHeight="1" x14ac:dyDescent="0.2">
      <c r="A155" s="370" t="s">
        <v>100</v>
      </c>
      <c r="B155" s="371"/>
      <c r="C155" s="100"/>
      <c r="D155" s="100"/>
      <c r="E155" s="100"/>
      <c r="F155" s="100"/>
      <c r="G155" s="100"/>
      <c r="H155" s="101">
        <f>SUM(H152:H154)</f>
        <v>400000</v>
      </c>
      <c r="I155" s="101">
        <f t="shared" ref="I155:R155" si="56">SUM(I152:I154)</f>
        <v>11480</v>
      </c>
      <c r="J155" s="101">
        <f t="shared" si="56"/>
        <v>12160</v>
      </c>
      <c r="K155" s="101">
        <f t="shared" si="56"/>
        <v>0</v>
      </c>
      <c r="L155" s="101">
        <f t="shared" si="56"/>
        <v>23640</v>
      </c>
      <c r="M155" s="101">
        <f t="shared" si="56"/>
        <v>376360</v>
      </c>
      <c r="N155" s="101">
        <f t="shared" si="56"/>
        <v>59838.811875000007</v>
      </c>
      <c r="O155" s="101">
        <f t="shared" si="56"/>
        <v>0</v>
      </c>
      <c r="P155" s="101">
        <f t="shared" si="56"/>
        <v>75</v>
      </c>
      <c r="Q155" s="101">
        <f t="shared" si="56"/>
        <v>83553.811875000014</v>
      </c>
      <c r="R155" s="101">
        <f t="shared" si="56"/>
        <v>316446.18812499999</v>
      </c>
    </row>
    <row r="156" spans="1:18" s="182" customFormat="1" ht="39.950000000000003" customHeight="1" thickBot="1" x14ac:dyDescent="0.25">
      <c r="A156" s="169"/>
      <c r="B156" s="169"/>
      <c r="C156" s="169"/>
      <c r="D156" s="169"/>
      <c r="E156" s="169"/>
      <c r="F156" s="169"/>
      <c r="G156" s="169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</row>
    <row r="157" spans="1:18" s="182" customFormat="1" ht="39.950000000000003" customHeight="1" thickBot="1" x14ac:dyDescent="0.25">
      <c r="A157" s="172" t="s">
        <v>392</v>
      </c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</row>
    <row r="158" spans="1:18" s="111" customFormat="1" ht="39.950000000000003" customHeight="1" x14ac:dyDescent="0.2">
      <c r="A158" s="152">
        <f>+A154+1</f>
        <v>72</v>
      </c>
      <c r="B158" s="164" t="s">
        <v>592</v>
      </c>
      <c r="C158" s="152" t="s">
        <v>338</v>
      </c>
      <c r="D158" s="153" t="s">
        <v>106</v>
      </c>
      <c r="E158" s="153" t="s">
        <v>180</v>
      </c>
      <c r="F158" s="153" t="s">
        <v>599</v>
      </c>
      <c r="G158" s="153" t="s">
        <v>648</v>
      </c>
      <c r="H158" s="116">
        <v>50000</v>
      </c>
      <c r="I158" s="116">
        <f>H158*2.87%</f>
        <v>1435</v>
      </c>
      <c r="J158" s="105">
        <f>+H158*3.04%</f>
        <v>1520</v>
      </c>
      <c r="K158" s="105"/>
      <c r="L158" s="116">
        <f>+J158+I158+K158</f>
        <v>2955</v>
      </c>
      <c r="M158" s="116">
        <f>+H158-L158</f>
        <v>47045</v>
      </c>
      <c r="N158" s="116">
        <f>+IF(M158*12&lt;=416220.01,0,IF(M158*12&lt;=624329.01,(((M158*12-416220.01)*0.15)/12),IF((M158*12&lt;=867123.01),(31216+0.2*(M158*12-624329.01))/12,((79776+0.25*(M158*12-867123.01))/12))))-O158</f>
        <v>1853.9998749999997</v>
      </c>
      <c r="O158" s="116"/>
      <c r="P158" s="155">
        <v>25</v>
      </c>
      <c r="Q158" s="116">
        <f>+P158+N158+L158</f>
        <v>4833.9998749999995</v>
      </c>
      <c r="R158" s="155">
        <f>+H158-Q158</f>
        <v>45166.000124999999</v>
      </c>
    </row>
    <row r="159" spans="1:18" s="115" customFormat="1" ht="39.950000000000003" customHeight="1" x14ac:dyDescent="0.2">
      <c r="A159" s="370" t="s">
        <v>100</v>
      </c>
      <c r="B159" s="371"/>
      <c r="C159" s="183"/>
      <c r="D159" s="183"/>
      <c r="E159" s="183"/>
      <c r="F159" s="183"/>
      <c r="G159" s="184"/>
      <c r="H159" s="101">
        <f t="shared" ref="H159:R159" si="57">SUM(H158:H158)</f>
        <v>50000</v>
      </c>
      <c r="I159" s="101">
        <f t="shared" si="57"/>
        <v>1435</v>
      </c>
      <c r="J159" s="101">
        <f t="shared" si="57"/>
        <v>1520</v>
      </c>
      <c r="K159" s="101">
        <f t="shared" si="57"/>
        <v>0</v>
      </c>
      <c r="L159" s="101">
        <f t="shared" si="57"/>
        <v>2955</v>
      </c>
      <c r="M159" s="101">
        <f t="shared" si="57"/>
        <v>47045</v>
      </c>
      <c r="N159" s="101">
        <f t="shared" si="57"/>
        <v>1853.9998749999997</v>
      </c>
      <c r="O159" s="101">
        <f t="shared" si="57"/>
        <v>0</v>
      </c>
      <c r="P159" s="101">
        <f t="shared" si="57"/>
        <v>25</v>
      </c>
      <c r="Q159" s="101">
        <f t="shared" si="57"/>
        <v>4833.9998749999995</v>
      </c>
      <c r="R159" s="101">
        <f t="shared" si="57"/>
        <v>45166.000124999999</v>
      </c>
    </row>
    <row r="160" spans="1:18" s="182" customFormat="1" ht="39.950000000000003" customHeight="1" thickBot="1" x14ac:dyDescent="0.25">
      <c r="A160" s="111"/>
      <c r="B160" s="111"/>
      <c r="C160" s="126"/>
      <c r="D160" s="111"/>
      <c r="E160" s="111"/>
      <c r="F160" s="111"/>
      <c r="G160" s="32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</row>
    <row r="161" spans="1:18" s="182" customFormat="1" ht="39.950000000000003" customHeight="1" thickBot="1" x14ac:dyDescent="0.25">
      <c r="A161" s="172" t="s">
        <v>454</v>
      </c>
      <c r="B161" s="173"/>
      <c r="C161" s="173"/>
      <c r="D161" s="173"/>
      <c r="E161" s="173"/>
      <c r="F161" s="173"/>
      <c r="G161" s="319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</row>
    <row r="162" spans="1:18" s="115" customFormat="1" ht="39.950000000000003" customHeight="1" x14ac:dyDescent="0.2">
      <c r="A162" s="166">
        <f>+A158+1</f>
        <v>73</v>
      </c>
      <c r="B162" s="140" t="s">
        <v>460</v>
      </c>
      <c r="C162" s="108" t="s">
        <v>339</v>
      </c>
      <c r="D162" s="142" t="s">
        <v>461</v>
      </c>
      <c r="E162" s="153" t="s">
        <v>180</v>
      </c>
      <c r="F162" s="153" t="s">
        <v>588</v>
      </c>
      <c r="G162" s="153" t="s">
        <v>632</v>
      </c>
      <c r="H162" s="159">
        <v>90000</v>
      </c>
      <c r="I162" s="118">
        <f>H162*2.87%</f>
        <v>2583</v>
      </c>
      <c r="J162" s="118">
        <f>+H162*3.04%</f>
        <v>2736</v>
      </c>
      <c r="K162" s="118"/>
      <c r="L162" s="116">
        <f>+J162+I162+K162</f>
        <v>5319</v>
      </c>
      <c r="M162" s="116">
        <f>+H162-L162</f>
        <v>84681</v>
      </c>
      <c r="N162" s="116">
        <f>+IF(M162*12&lt;=416220.01,0,IF(M162*12&lt;=624329.01,(((M162*12-416220.01)*0.15)/12),IF((M162*12&lt;=867123.01),(31216+0.2*(M162*12-624329.01))/12,((79776+0.25*(M162*12-867123.01))/12))))-O162</f>
        <v>9753.1872916666671</v>
      </c>
      <c r="O162" s="116"/>
      <c r="P162" s="155">
        <v>65</v>
      </c>
      <c r="Q162" s="116">
        <f>+P162+N162+L162</f>
        <v>15137.187291666667</v>
      </c>
      <c r="R162" s="155">
        <f>+H162-Q162</f>
        <v>74862.812708333338</v>
      </c>
    </row>
    <row r="163" spans="1:18" s="111" customFormat="1" ht="39.950000000000003" customHeight="1" x14ac:dyDescent="0.2">
      <c r="A163" s="166">
        <f>+A162+1</f>
        <v>74</v>
      </c>
      <c r="B163" s="140" t="s">
        <v>452</v>
      </c>
      <c r="C163" s="108" t="s">
        <v>339</v>
      </c>
      <c r="D163" s="142" t="s">
        <v>453</v>
      </c>
      <c r="E163" s="153" t="s">
        <v>180</v>
      </c>
      <c r="F163" s="153" t="s">
        <v>576</v>
      </c>
      <c r="G163" s="153" t="s">
        <v>620</v>
      </c>
      <c r="H163" s="159">
        <v>80000</v>
      </c>
      <c r="I163" s="118">
        <f>H163*2.87%</f>
        <v>2296</v>
      </c>
      <c r="J163" s="118">
        <f>+H163*3.04%</f>
        <v>2432</v>
      </c>
      <c r="K163" s="118">
        <v>1919.78</v>
      </c>
      <c r="L163" s="116">
        <f>+J163+I163+K163</f>
        <v>6647.78</v>
      </c>
      <c r="M163" s="116">
        <f>+H163-L163</f>
        <v>73352.22</v>
      </c>
      <c r="N163" s="116">
        <f>+IF(M163*12&lt;=416220.01,0,IF(M163*12&lt;=624329.01,(((M163*12-416220.01)*0.15)/12),IF((M163*12&lt;=867123.01),(31216+0.2*(M163*12-624329.01))/12,((79776+0.25*(M163*12-867123.01))/12))))-O163</f>
        <v>6920.9922916666665</v>
      </c>
      <c r="O163" s="116">
        <v>0</v>
      </c>
      <c r="P163" s="155">
        <v>225</v>
      </c>
      <c r="Q163" s="116">
        <f>+P163+N163+L163</f>
        <v>13793.772291666666</v>
      </c>
      <c r="R163" s="155">
        <f>+H163-Q163</f>
        <v>66206.227708333332</v>
      </c>
    </row>
    <row r="164" spans="1:18" s="111" customFormat="1" ht="39.950000000000003" customHeight="1" x14ac:dyDescent="0.2">
      <c r="A164" s="370" t="s">
        <v>100</v>
      </c>
      <c r="B164" s="371"/>
      <c r="C164" s="100"/>
      <c r="D164" s="100"/>
      <c r="E164" s="100"/>
      <c r="F164" s="100"/>
      <c r="G164" s="100"/>
      <c r="H164" s="101">
        <f>SUM(H162:H163)</f>
        <v>170000</v>
      </c>
      <c r="I164" s="101">
        <f t="shared" ref="I164:R164" si="58">SUM(I162:I163)</f>
        <v>4879</v>
      </c>
      <c r="J164" s="101">
        <f t="shared" si="58"/>
        <v>5168</v>
      </c>
      <c r="K164" s="101">
        <f t="shared" si="58"/>
        <v>1919.78</v>
      </c>
      <c r="L164" s="101">
        <f t="shared" si="58"/>
        <v>11966.779999999999</v>
      </c>
      <c r="M164" s="101">
        <f t="shared" si="58"/>
        <v>158033.22</v>
      </c>
      <c r="N164" s="101">
        <f t="shared" si="58"/>
        <v>16674.179583333334</v>
      </c>
      <c r="O164" s="101">
        <f t="shared" si="58"/>
        <v>0</v>
      </c>
      <c r="P164" s="101">
        <f t="shared" si="58"/>
        <v>290</v>
      </c>
      <c r="Q164" s="101">
        <f t="shared" si="58"/>
        <v>28930.959583333333</v>
      </c>
      <c r="R164" s="101">
        <f t="shared" si="58"/>
        <v>141069.04041666666</v>
      </c>
    </row>
    <row r="165" spans="1:18" s="170" customFormat="1" ht="39.950000000000003" customHeight="1" thickBot="1" x14ac:dyDescent="0.25">
      <c r="A165" s="169"/>
      <c r="B165" s="169"/>
      <c r="C165" s="185"/>
      <c r="D165" s="185"/>
      <c r="E165" s="185"/>
      <c r="F165" s="185"/>
      <c r="G165" s="185"/>
    </row>
    <row r="166" spans="1:18" s="170" customFormat="1" ht="39.950000000000003" customHeight="1" thickBot="1" x14ac:dyDescent="0.25">
      <c r="A166" s="172" t="s">
        <v>309</v>
      </c>
      <c r="B166" s="173"/>
      <c r="C166" s="173"/>
      <c r="D166" s="173"/>
      <c r="E166" s="173"/>
      <c r="F166" s="173"/>
      <c r="G166" s="319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</row>
    <row r="167" spans="1:18" s="115" customFormat="1" ht="39.950000000000003" customHeight="1" x14ac:dyDescent="0.2">
      <c r="A167" s="298">
        <f>+A163+1</f>
        <v>75</v>
      </c>
      <c r="B167" s="141" t="s">
        <v>597</v>
      </c>
      <c r="C167" s="103" t="s">
        <v>339</v>
      </c>
      <c r="D167" s="139" t="s">
        <v>551</v>
      </c>
      <c r="E167" s="175" t="s">
        <v>180</v>
      </c>
      <c r="F167" s="158" t="s">
        <v>599</v>
      </c>
      <c r="G167" s="158" t="s">
        <v>636</v>
      </c>
      <c r="H167" s="193">
        <v>100000</v>
      </c>
      <c r="I167" s="118">
        <f>H167*2.87%</f>
        <v>2870</v>
      </c>
      <c r="J167" s="118">
        <f>+H167*3.04%</f>
        <v>3040</v>
      </c>
      <c r="K167" s="118">
        <v>0</v>
      </c>
      <c r="L167" s="116">
        <f>+J167+I167+K167</f>
        <v>5910</v>
      </c>
      <c r="M167" s="116">
        <f>+H167-L167</f>
        <v>94090</v>
      </c>
      <c r="N167" s="116">
        <f>+IF(M167*12&lt;=416220.01,0,IF(M167*12&lt;=624329.01,(((M167*12-416220.01)*0.15)/12),IF((M167*12&lt;=867123.01),(31216+0.2*(M167*12-624329.01))/12,((79776+0.25*(M167*12-867123.01))/12))))-O167</f>
        <v>12105.437291666667</v>
      </c>
      <c r="O167" s="116">
        <v>0</v>
      </c>
      <c r="P167" s="155">
        <v>225</v>
      </c>
      <c r="Q167" s="116">
        <f>+L167+N167+P167</f>
        <v>18240.437291666669</v>
      </c>
      <c r="R167" s="155">
        <f>+H167-Q167</f>
        <v>81759.562708333338</v>
      </c>
    </row>
    <row r="168" spans="1:18" s="115" customFormat="1" ht="39.950000000000003" customHeight="1" x14ac:dyDescent="0.2">
      <c r="A168" s="298">
        <f>+A167+1</f>
        <v>76</v>
      </c>
      <c r="B168" s="141" t="s">
        <v>562</v>
      </c>
      <c r="C168" s="103" t="s">
        <v>338</v>
      </c>
      <c r="D168" s="139" t="s">
        <v>563</v>
      </c>
      <c r="E168" s="175" t="s">
        <v>180</v>
      </c>
      <c r="F168" s="154" t="s">
        <v>610</v>
      </c>
      <c r="G168" s="154" t="s">
        <v>643</v>
      </c>
      <c r="H168" s="193">
        <v>60000</v>
      </c>
      <c r="I168" s="118">
        <f>H168*2.87%</f>
        <v>1722</v>
      </c>
      <c r="J168" s="118">
        <f>+H168*3.04%</f>
        <v>1824</v>
      </c>
      <c r="K168" s="118"/>
      <c r="L168" s="116">
        <f>+J168+I168+K168</f>
        <v>3546</v>
      </c>
      <c r="M168" s="116">
        <f>+H168-L168</f>
        <v>56454</v>
      </c>
      <c r="N168" s="116">
        <f>+IF(M168*12&lt;=416220.01,0,IF(M168*12&lt;=624329.01,(((M168*12-416220.01)*0.15)/12),IF((M168*12&lt;=867123.01),(31216+0.2*(M168*12-624329.01))/12,((79776+0.25*(M168*12-867123.01))/12))))-O168</f>
        <v>3486.6498333333329</v>
      </c>
      <c r="O168" s="116"/>
      <c r="P168" s="155">
        <v>225</v>
      </c>
      <c r="Q168" s="116">
        <f>+P168+N168+L168</f>
        <v>7257.6498333333329</v>
      </c>
      <c r="R168" s="155">
        <f>+H168-Q168</f>
        <v>52742.350166666671</v>
      </c>
    </row>
    <row r="169" spans="1:18" s="114" customFormat="1" ht="39.950000000000003" customHeight="1" x14ac:dyDescent="0.2">
      <c r="A169" s="370" t="s">
        <v>100</v>
      </c>
      <c r="B169" s="371"/>
      <c r="C169" s="100"/>
      <c r="D169" s="100"/>
      <c r="E169" s="100"/>
      <c r="F169" s="100"/>
      <c r="G169" s="100"/>
      <c r="H169" s="101">
        <f t="shared" ref="H169:R169" si="59">SUM(H167:H168)</f>
        <v>160000</v>
      </c>
      <c r="I169" s="101">
        <f t="shared" si="59"/>
        <v>4592</v>
      </c>
      <c r="J169" s="101">
        <f t="shared" si="59"/>
        <v>4864</v>
      </c>
      <c r="K169" s="101">
        <f t="shared" si="59"/>
        <v>0</v>
      </c>
      <c r="L169" s="101">
        <f t="shared" si="59"/>
        <v>9456</v>
      </c>
      <c r="M169" s="101">
        <f t="shared" si="59"/>
        <v>150544</v>
      </c>
      <c r="N169" s="101">
        <f t="shared" si="59"/>
        <v>15592.087125</v>
      </c>
      <c r="O169" s="101">
        <f t="shared" si="59"/>
        <v>0</v>
      </c>
      <c r="P169" s="101">
        <f t="shared" si="59"/>
        <v>450</v>
      </c>
      <c r="Q169" s="101">
        <f t="shared" si="59"/>
        <v>25498.087125000002</v>
      </c>
      <c r="R169" s="101">
        <f t="shared" si="59"/>
        <v>134501.91287500001</v>
      </c>
    </row>
    <row r="170" spans="1:18" s="114" customFormat="1" ht="39.950000000000003" customHeight="1" thickBot="1" x14ac:dyDescent="0.25">
      <c r="A170" s="169"/>
      <c r="B170" s="169"/>
      <c r="C170" s="169"/>
      <c r="D170" s="169"/>
      <c r="E170" s="169"/>
      <c r="F170" s="169"/>
      <c r="G170" s="169"/>
    </row>
    <row r="171" spans="1:18" s="114" customFormat="1" ht="39.950000000000003" customHeight="1" thickBot="1" x14ac:dyDescent="0.25">
      <c r="A171" s="172" t="s">
        <v>183</v>
      </c>
      <c r="B171" s="173"/>
      <c r="C171" s="173"/>
      <c r="D171" s="173"/>
      <c r="E171" s="173"/>
      <c r="F171" s="173"/>
      <c r="G171" s="173"/>
      <c r="H171" s="173"/>
      <c r="I171" s="173"/>
      <c r="J171" s="173"/>
      <c r="K171" s="187"/>
      <c r="L171" s="187"/>
      <c r="M171" s="187"/>
      <c r="N171" s="187"/>
      <c r="O171" s="187"/>
      <c r="P171" s="187"/>
      <c r="Q171" s="187"/>
      <c r="R171" s="173"/>
    </row>
    <row r="172" spans="1:18" s="114" customFormat="1" ht="39.950000000000003" customHeight="1" x14ac:dyDescent="0.2">
      <c r="A172" s="103">
        <f>+A168+1</f>
        <v>77</v>
      </c>
      <c r="B172" s="140" t="s">
        <v>310</v>
      </c>
      <c r="C172" s="108" t="s">
        <v>339</v>
      </c>
      <c r="D172" s="142" t="s">
        <v>497</v>
      </c>
      <c r="E172" s="153" t="s">
        <v>180</v>
      </c>
      <c r="F172" s="153" t="s">
        <v>599</v>
      </c>
      <c r="G172" s="153" t="s">
        <v>648</v>
      </c>
      <c r="H172" s="159">
        <v>145000</v>
      </c>
      <c r="I172" s="118">
        <f>H172*2.87%</f>
        <v>4161.5</v>
      </c>
      <c r="J172" s="118">
        <f>+H172*3.04%</f>
        <v>4408</v>
      </c>
      <c r="K172" s="118"/>
      <c r="L172" s="118">
        <f>+J172+I172+K172</f>
        <v>8569.5</v>
      </c>
      <c r="M172" s="118">
        <f>+H172-L172</f>
        <v>136430.5</v>
      </c>
      <c r="N172" s="116">
        <f>+IF(M172*12&lt;=416220.01,0,IF(M172*12&lt;=624329.01,(((M172*12-416220.01)*0.15)/12),IF((M172*12&lt;=867123.01),(31216+0.2*(M172*12-624329.01))/12,((79776+0.25*(M172*12-867123.01))/12))))-O172</f>
        <v>22690.562291666665</v>
      </c>
      <c r="O172" s="118"/>
      <c r="P172" s="160">
        <v>5466</v>
      </c>
      <c r="Q172" s="118">
        <f>+P172+N172+L172</f>
        <v>36726.062291666662</v>
      </c>
      <c r="R172" s="155">
        <f>+H172-Q172</f>
        <v>108273.93770833334</v>
      </c>
    </row>
    <row r="173" spans="1:18" s="114" customFormat="1" ht="39.950000000000003" customHeight="1" x14ac:dyDescent="0.2">
      <c r="A173" s="370" t="s">
        <v>100</v>
      </c>
      <c r="B173" s="376"/>
      <c r="C173" s="188"/>
      <c r="D173" s="188"/>
      <c r="E173" s="188"/>
      <c r="F173" s="188"/>
      <c r="G173" s="189"/>
      <c r="H173" s="101">
        <f>+H172</f>
        <v>145000</v>
      </c>
      <c r="I173" s="101">
        <f t="shared" ref="I173:R173" si="60">+I172</f>
        <v>4161.5</v>
      </c>
      <c r="J173" s="101">
        <f t="shared" si="60"/>
        <v>4408</v>
      </c>
      <c r="K173" s="101">
        <f t="shared" si="60"/>
        <v>0</v>
      </c>
      <c r="L173" s="101">
        <f t="shared" si="60"/>
        <v>8569.5</v>
      </c>
      <c r="M173" s="101">
        <f t="shared" si="60"/>
        <v>136430.5</v>
      </c>
      <c r="N173" s="101">
        <f t="shared" si="60"/>
        <v>22690.562291666665</v>
      </c>
      <c r="O173" s="101">
        <f t="shared" si="60"/>
        <v>0</v>
      </c>
      <c r="P173" s="101">
        <f t="shared" si="60"/>
        <v>5466</v>
      </c>
      <c r="Q173" s="101">
        <f t="shared" si="60"/>
        <v>36726.062291666662</v>
      </c>
      <c r="R173" s="101">
        <f t="shared" si="60"/>
        <v>108273.93770833334</v>
      </c>
    </row>
    <row r="174" spans="1:18" s="114" customFormat="1" ht="39.950000000000003" customHeight="1" thickBot="1" x14ac:dyDescent="0.25">
      <c r="A174" s="124"/>
      <c r="B174" s="110"/>
      <c r="C174" s="113"/>
      <c r="D174" s="190"/>
      <c r="E174" s="191"/>
      <c r="F174" s="144"/>
      <c r="G174" s="144"/>
      <c r="H174" s="192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</row>
    <row r="175" spans="1:18" s="182" customFormat="1" ht="39.950000000000003" customHeight="1" thickBot="1" x14ac:dyDescent="0.25">
      <c r="A175" s="172" t="s">
        <v>173</v>
      </c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</row>
    <row r="176" spans="1:18" s="186" customFormat="1" ht="39.950000000000003" customHeight="1" x14ac:dyDescent="0.2">
      <c r="A176" s="108">
        <f>+A172+1</f>
        <v>78</v>
      </c>
      <c r="B176" s="140" t="s">
        <v>312</v>
      </c>
      <c r="C176" s="108" t="s">
        <v>339</v>
      </c>
      <c r="D176" s="142" t="s">
        <v>184</v>
      </c>
      <c r="E176" s="153" t="s">
        <v>180</v>
      </c>
      <c r="F176" s="158" t="s">
        <v>599</v>
      </c>
      <c r="G176" s="158" t="s">
        <v>636</v>
      </c>
      <c r="H176" s="159">
        <v>155000</v>
      </c>
      <c r="I176" s="116">
        <f t="shared" ref="I176:I178" si="61">H176*2.87%</f>
        <v>4448.5</v>
      </c>
      <c r="J176" s="116">
        <f t="shared" ref="J176:J178" si="62">+H176*3.04%</f>
        <v>4712</v>
      </c>
      <c r="K176" s="116"/>
      <c r="L176" s="116">
        <f t="shared" ref="L176:L181" si="63">+J176+I176+K176</f>
        <v>9160.5</v>
      </c>
      <c r="M176" s="116">
        <f t="shared" ref="M176:M181" si="64">+H176-L176</f>
        <v>145839.5</v>
      </c>
      <c r="N176" s="116">
        <f t="shared" ref="N176:N181" si="65">+IF(M176*12&lt;=416220.01,0,IF(M176*12&lt;=624329.01,(((M176*12-416220.01)*0.15)/12),IF((M176*12&lt;=867123.01),(31216+0.2*(M176*12-624329.01))/12,((79776+0.25*(M176*12-867123.01))/12))))-O176</f>
        <v>25042.812291666665</v>
      </c>
      <c r="O176" s="116"/>
      <c r="P176" s="160">
        <v>9381.82</v>
      </c>
      <c r="Q176" s="116">
        <f t="shared" ref="Q176:Q181" si="66">+P176+N176+L176</f>
        <v>43585.132291666669</v>
      </c>
      <c r="R176" s="160">
        <f t="shared" ref="R176:R181" si="67">+H176-Q176</f>
        <v>111414.86770833333</v>
      </c>
    </row>
    <row r="177" spans="1:18" s="186" customFormat="1" ht="39.950000000000003" customHeight="1" x14ac:dyDescent="0.2">
      <c r="A177" s="108">
        <f>+A176+1</f>
        <v>79</v>
      </c>
      <c r="B177" s="140" t="s">
        <v>81</v>
      </c>
      <c r="C177" s="108" t="s">
        <v>339</v>
      </c>
      <c r="D177" s="142" t="s">
        <v>404</v>
      </c>
      <c r="E177" s="153" t="s">
        <v>180</v>
      </c>
      <c r="F177" s="154" t="s">
        <v>610</v>
      </c>
      <c r="G177" s="154" t="s">
        <v>643</v>
      </c>
      <c r="H177" s="159">
        <v>80000</v>
      </c>
      <c r="I177" s="105">
        <f t="shared" si="61"/>
        <v>2296</v>
      </c>
      <c r="J177" s="105">
        <f t="shared" si="62"/>
        <v>2432</v>
      </c>
      <c r="K177" s="116">
        <v>1919.78</v>
      </c>
      <c r="L177" s="116">
        <f t="shared" si="63"/>
        <v>6647.78</v>
      </c>
      <c r="M177" s="116">
        <f t="shared" si="64"/>
        <v>73352.22</v>
      </c>
      <c r="N177" s="116">
        <f t="shared" si="65"/>
        <v>6920.9922916666665</v>
      </c>
      <c r="O177" s="116"/>
      <c r="P177" s="160">
        <v>2990.29</v>
      </c>
      <c r="Q177" s="118">
        <f t="shared" si="66"/>
        <v>16559.062291666665</v>
      </c>
      <c r="R177" s="155">
        <f t="shared" si="67"/>
        <v>63440.937708333338</v>
      </c>
    </row>
    <row r="178" spans="1:18" s="182" customFormat="1" ht="39.950000000000003" customHeight="1" x14ac:dyDescent="0.2">
      <c r="A178" s="108">
        <f>+A177+1</f>
        <v>80</v>
      </c>
      <c r="B178" s="140" t="s">
        <v>314</v>
      </c>
      <c r="C178" s="108" t="s">
        <v>339</v>
      </c>
      <c r="D178" s="142" t="s">
        <v>192</v>
      </c>
      <c r="E178" s="153" t="s">
        <v>180</v>
      </c>
      <c r="F178" s="153" t="s">
        <v>621</v>
      </c>
      <c r="G178" s="153" t="s">
        <v>654</v>
      </c>
      <c r="H178" s="159">
        <v>80000</v>
      </c>
      <c r="I178" s="105">
        <f t="shared" si="61"/>
        <v>2296</v>
      </c>
      <c r="J178" s="105">
        <f t="shared" si="62"/>
        <v>2432</v>
      </c>
      <c r="K178" s="116">
        <v>1919.78</v>
      </c>
      <c r="L178" s="116">
        <f>+J178+I178+K178</f>
        <v>6647.78</v>
      </c>
      <c r="M178" s="116">
        <f>+H178-L178</f>
        <v>73352.22</v>
      </c>
      <c r="N178" s="116">
        <f t="shared" si="65"/>
        <v>6920.9922916666665</v>
      </c>
      <c r="O178" s="116"/>
      <c r="P178" s="160">
        <v>3943.56</v>
      </c>
      <c r="Q178" s="118">
        <f t="shared" si="66"/>
        <v>17512.332291666666</v>
      </c>
      <c r="R178" s="155">
        <f t="shared" si="67"/>
        <v>62487.667708333334</v>
      </c>
    </row>
    <row r="179" spans="1:18" s="182" customFormat="1" ht="39.950000000000003" customHeight="1" x14ac:dyDescent="0.2">
      <c r="A179" s="108">
        <f>+A178+1</f>
        <v>81</v>
      </c>
      <c r="B179" s="140" t="s">
        <v>311</v>
      </c>
      <c r="C179" s="108" t="s">
        <v>339</v>
      </c>
      <c r="D179" s="142" t="s">
        <v>192</v>
      </c>
      <c r="E179" s="153" t="s">
        <v>180</v>
      </c>
      <c r="F179" s="153" t="s">
        <v>576</v>
      </c>
      <c r="G179" s="153" t="s">
        <v>620</v>
      </c>
      <c r="H179" s="159">
        <v>80000</v>
      </c>
      <c r="I179" s="116">
        <f>H179*2.87%</f>
        <v>2296</v>
      </c>
      <c r="J179" s="116">
        <f>+H179*3.04%</f>
        <v>2432</v>
      </c>
      <c r="K179" s="116">
        <v>1919.78</v>
      </c>
      <c r="L179" s="116">
        <f>+J179+I179+K179</f>
        <v>6647.78</v>
      </c>
      <c r="M179" s="116">
        <f>+H179-L179</f>
        <v>73352.22</v>
      </c>
      <c r="N179" s="116">
        <f t="shared" si="65"/>
        <v>6920.9922916666665</v>
      </c>
      <c r="O179" s="116"/>
      <c r="P179" s="160">
        <v>25</v>
      </c>
      <c r="Q179" s="118">
        <f t="shared" si="66"/>
        <v>13593.772291666666</v>
      </c>
      <c r="R179" s="155">
        <f t="shared" si="67"/>
        <v>66406.227708333332</v>
      </c>
    </row>
    <row r="180" spans="1:18" s="182" customFormat="1" ht="39.950000000000003" customHeight="1" x14ac:dyDescent="0.2">
      <c r="A180" s="108">
        <f>+A179+1</f>
        <v>82</v>
      </c>
      <c r="B180" s="140" t="s">
        <v>462</v>
      </c>
      <c r="C180" s="108" t="s">
        <v>339</v>
      </c>
      <c r="D180" s="142" t="s">
        <v>315</v>
      </c>
      <c r="E180" s="153" t="s">
        <v>180</v>
      </c>
      <c r="F180" s="153" t="s">
        <v>588</v>
      </c>
      <c r="G180" s="153" t="s">
        <v>632</v>
      </c>
      <c r="H180" s="159">
        <v>65000</v>
      </c>
      <c r="I180" s="105">
        <f t="shared" ref="I180:I181" si="68">H180*2.87%</f>
        <v>1865.5</v>
      </c>
      <c r="J180" s="105">
        <f t="shared" ref="J180:J181" si="69">+H180*3.04%</f>
        <v>1976</v>
      </c>
      <c r="K180" s="105"/>
      <c r="L180" s="116">
        <f t="shared" si="63"/>
        <v>3841.5</v>
      </c>
      <c r="M180" s="116">
        <f t="shared" si="64"/>
        <v>61158.5</v>
      </c>
      <c r="N180" s="116">
        <f t="shared" si="65"/>
        <v>4427.5498333333335</v>
      </c>
      <c r="O180" s="116"/>
      <c r="P180" s="160">
        <v>225</v>
      </c>
      <c r="Q180" s="116">
        <f t="shared" si="66"/>
        <v>8494.0498333333344</v>
      </c>
      <c r="R180" s="160">
        <f t="shared" si="67"/>
        <v>56505.950166666662</v>
      </c>
    </row>
    <row r="181" spans="1:18" s="182" customFormat="1" ht="39.950000000000003" customHeight="1" x14ac:dyDescent="0.2">
      <c r="A181" s="108">
        <f>+A180+1</f>
        <v>83</v>
      </c>
      <c r="B181" s="140" t="s">
        <v>179</v>
      </c>
      <c r="C181" s="108" t="s">
        <v>339</v>
      </c>
      <c r="D181" s="142" t="s">
        <v>315</v>
      </c>
      <c r="E181" s="153" t="s">
        <v>180</v>
      </c>
      <c r="F181" s="154" t="s">
        <v>610</v>
      </c>
      <c r="G181" s="154" t="s">
        <v>643</v>
      </c>
      <c r="H181" s="159">
        <v>50000</v>
      </c>
      <c r="I181" s="105">
        <f t="shared" si="68"/>
        <v>1435</v>
      </c>
      <c r="J181" s="105">
        <f t="shared" si="69"/>
        <v>1520</v>
      </c>
      <c r="K181" s="105"/>
      <c r="L181" s="116">
        <f t="shared" si="63"/>
        <v>2955</v>
      </c>
      <c r="M181" s="116">
        <f t="shared" si="64"/>
        <v>47045</v>
      </c>
      <c r="N181" s="116">
        <f t="shared" si="65"/>
        <v>1853.9998749999997</v>
      </c>
      <c r="O181" s="116"/>
      <c r="P181" s="160">
        <v>4623.47</v>
      </c>
      <c r="Q181" s="116">
        <f t="shared" si="66"/>
        <v>9432.4698749999989</v>
      </c>
      <c r="R181" s="160">
        <f t="shared" si="67"/>
        <v>40567.530125000005</v>
      </c>
    </row>
    <row r="182" spans="1:18" s="182" customFormat="1" ht="39.950000000000003" customHeight="1" x14ac:dyDescent="0.2">
      <c r="A182" s="370" t="s">
        <v>100</v>
      </c>
      <c r="B182" s="371"/>
      <c r="C182" s="100"/>
      <c r="D182" s="100"/>
      <c r="E182" s="100"/>
      <c r="F182" s="100"/>
      <c r="G182" s="100"/>
      <c r="H182" s="101">
        <f>SUM(H176:H181)</f>
        <v>510000</v>
      </c>
      <c r="I182" s="101">
        <f t="shared" ref="I182:R182" si="70">SUM(I176:I181)</f>
        <v>14637</v>
      </c>
      <c r="J182" s="101">
        <f t="shared" si="70"/>
        <v>15504</v>
      </c>
      <c r="K182" s="101">
        <f t="shared" si="70"/>
        <v>5759.34</v>
      </c>
      <c r="L182" s="101">
        <f t="shared" si="70"/>
        <v>35900.339999999997</v>
      </c>
      <c r="M182" s="101">
        <f t="shared" si="70"/>
        <v>474099.66000000003</v>
      </c>
      <c r="N182" s="101">
        <f t="shared" si="70"/>
        <v>52087.338875000001</v>
      </c>
      <c r="O182" s="101">
        <f t="shared" si="70"/>
        <v>0</v>
      </c>
      <c r="P182" s="101">
        <f t="shared" si="70"/>
        <v>21189.14</v>
      </c>
      <c r="Q182" s="101">
        <f t="shared" si="70"/>
        <v>109176.818875</v>
      </c>
      <c r="R182" s="101">
        <f t="shared" si="70"/>
        <v>400823.181125</v>
      </c>
    </row>
    <row r="183" spans="1:18" s="182" customFormat="1" ht="39.950000000000003" customHeight="1" thickBot="1" x14ac:dyDescent="0.25">
      <c r="A183" s="169"/>
      <c r="B183" s="169"/>
      <c r="C183" s="169"/>
      <c r="D183" s="169"/>
      <c r="E183" s="169"/>
      <c r="F183" s="169"/>
      <c r="G183" s="169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</row>
    <row r="184" spans="1:18" s="186" customFormat="1" ht="39.950000000000003" customHeight="1" thickBot="1" x14ac:dyDescent="0.25">
      <c r="A184" s="172" t="s">
        <v>367</v>
      </c>
      <c r="B184" s="173"/>
      <c r="C184" s="173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</row>
    <row r="185" spans="1:18" s="182" customFormat="1" ht="39.950000000000003" customHeight="1" x14ac:dyDescent="0.2">
      <c r="A185" s="103">
        <f>+A180+1</f>
        <v>83</v>
      </c>
      <c r="B185" s="109" t="s">
        <v>185</v>
      </c>
      <c r="C185" s="108" t="s">
        <v>339</v>
      </c>
      <c r="D185" s="107" t="s">
        <v>368</v>
      </c>
      <c r="E185" s="153" t="s">
        <v>180</v>
      </c>
      <c r="F185" s="158" t="s">
        <v>599</v>
      </c>
      <c r="G185" s="158" t="s">
        <v>636</v>
      </c>
      <c r="H185" s="194">
        <v>180000</v>
      </c>
      <c r="I185" s="97">
        <f>H185*2.87%</f>
        <v>5166</v>
      </c>
      <c r="J185" s="118">
        <f>+H185*3.04%</f>
        <v>5472</v>
      </c>
      <c r="K185" s="118"/>
      <c r="L185" s="116">
        <f>+J185+I185+K185</f>
        <v>10638</v>
      </c>
      <c r="M185" s="116">
        <f>+H185-L185</f>
        <v>169362</v>
      </c>
      <c r="N185" s="116">
        <f>+IF(M185*12&lt;=416220.01,0,IF(M185*12&lt;=624329.01,(((M185*12-416220.01)*0.15)/12),IF((M185*12&lt;=867123.01),(31216+0.2*(M185*12-624329.01))/12,((79776+0.25*(M185*12-867123.01))/12))))</f>
        <v>30923.437291666665</v>
      </c>
      <c r="O185" s="116"/>
      <c r="P185" s="155">
        <v>10090.290000000001</v>
      </c>
      <c r="Q185" s="116">
        <f>+P185+N185+L185</f>
        <v>51651.72729166667</v>
      </c>
      <c r="R185" s="163">
        <f>+H185-Q185</f>
        <v>128348.27270833333</v>
      </c>
    </row>
    <row r="186" spans="1:18" s="111" customFormat="1" ht="39.950000000000003" customHeight="1" x14ac:dyDescent="0.2">
      <c r="A186" s="370" t="s">
        <v>100</v>
      </c>
      <c r="B186" s="371"/>
      <c r="C186" s="100"/>
      <c r="D186" s="100"/>
      <c r="E186" s="100"/>
      <c r="F186" s="100"/>
      <c r="G186" s="100"/>
      <c r="H186" s="101">
        <f t="shared" ref="H186:R186" si="71">SUM(H185:H185)</f>
        <v>180000</v>
      </c>
      <c r="I186" s="101">
        <f t="shared" si="71"/>
        <v>5166</v>
      </c>
      <c r="J186" s="101">
        <f t="shared" si="71"/>
        <v>5472</v>
      </c>
      <c r="K186" s="101">
        <f t="shared" si="71"/>
        <v>0</v>
      </c>
      <c r="L186" s="101">
        <f t="shared" si="71"/>
        <v>10638</v>
      </c>
      <c r="M186" s="101">
        <f t="shared" si="71"/>
        <v>169362</v>
      </c>
      <c r="N186" s="101">
        <f t="shared" si="71"/>
        <v>30923.437291666665</v>
      </c>
      <c r="O186" s="101">
        <f t="shared" si="71"/>
        <v>0</v>
      </c>
      <c r="P186" s="101">
        <f t="shared" si="71"/>
        <v>10090.290000000001</v>
      </c>
      <c r="Q186" s="101">
        <f t="shared" si="71"/>
        <v>51651.72729166667</v>
      </c>
      <c r="R186" s="101">
        <f t="shared" si="71"/>
        <v>128348.27270833333</v>
      </c>
    </row>
    <row r="187" spans="1:18" s="115" customFormat="1" ht="39.950000000000003" customHeight="1" thickBot="1" x14ac:dyDescent="0.25">
      <c r="A187" s="169"/>
      <c r="B187" s="169"/>
      <c r="C187" s="169"/>
      <c r="D187" s="169"/>
      <c r="E187" s="169"/>
      <c r="F187" s="169"/>
      <c r="G187" s="169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</row>
    <row r="188" spans="1:18" s="115" customFormat="1" ht="39.950000000000003" customHeight="1" thickBot="1" x14ac:dyDescent="0.25">
      <c r="A188" s="172" t="s">
        <v>146</v>
      </c>
      <c r="B188" s="173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3"/>
      <c r="O188" s="173"/>
      <c r="P188" s="173"/>
      <c r="Q188" s="173"/>
      <c r="R188" s="173"/>
    </row>
    <row r="189" spans="1:18" s="111" customFormat="1" ht="39.950000000000003" customHeight="1" x14ac:dyDescent="0.2">
      <c r="A189" s="156">
        <f>+A185+1</f>
        <v>84</v>
      </c>
      <c r="B189" s="167" t="s">
        <v>383</v>
      </c>
      <c r="C189" s="152" t="s">
        <v>339</v>
      </c>
      <c r="D189" s="153" t="s">
        <v>384</v>
      </c>
      <c r="E189" s="153" t="s">
        <v>180</v>
      </c>
      <c r="F189" s="154" t="s">
        <v>610</v>
      </c>
      <c r="G189" s="154" t="s">
        <v>643</v>
      </c>
      <c r="H189" s="193">
        <v>150000</v>
      </c>
      <c r="I189" s="118">
        <f>H189*2.87%</f>
        <v>4305</v>
      </c>
      <c r="J189" s="118">
        <f>+H189*3.04%</f>
        <v>4560</v>
      </c>
      <c r="K189" s="118"/>
      <c r="L189" s="116">
        <f>+J189+I189+K189</f>
        <v>8865</v>
      </c>
      <c r="M189" s="116">
        <f>+H189-L189</f>
        <v>141135</v>
      </c>
      <c r="N189" s="116">
        <f>+IF(M189*12&lt;=416220.01,0,IF(M189*12&lt;=624329.01,(((M189*12-416220.01)*0.15)/12),IF((M189*12&lt;=867123.01),(31216+0.2*(M189*12-624329.01))/12,((79776+0.25*(M189*12-867123.01))/12))))-O189</f>
        <v>23866.687291666665</v>
      </c>
      <c r="O189" s="116"/>
      <c r="P189" s="116">
        <v>3656.21</v>
      </c>
      <c r="Q189" s="116">
        <f>+P189+N189+L189</f>
        <v>36387.897291666668</v>
      </c>
      <c r="R189" s="155">
        <f>+H189-Q189</f>
        <v>113612.10270833333</v>
      </c>
    </row>
    <row r="190" spans="1:18" s="115" customFormat="1" ht="39.950000000000003" customHeight="1" x14ac:dyDescent="0.2">
      <c r="A190" s="156">
        <f>+A189+1</f>
        <v>85</v>
      </c>
      <c r="B190" s="167" t="s">
        <v>422</v>
      </c>
      <c r="C190" s="152" t="s">
        <v>339</v>
      </c>
      <c r="D190" s="153" t="s">
        <v>316</v>
      </c>
      <c r="E190" s="153" t="s">
        <v>180</v>
      </c>
      <c r="F190" s="153" t="s">
        <v>621</v>
      </c>
      <c r="G190" s="153" t="s">
        <v>654</v>
      </c>
      <c r="H190" s="193">
        <v>60000</v>
      </c>
      <c r="I190" s="97">
        <f>H190*2.87%</f>
        <v>1722</v>
      </c>
      <c r="J190" s="118">
        <f t="shared" ref="J190:J191" si="72">+H190*3.04%</f>
        <v>1824</v>
      </c>
      <c r="K190" s="118"/>
      <c r="L190" s="116">
        <f>+J190+I190+K190</f>
        <v>3546</v>
      </c>
      <c r="M190" s="116">
        <f>+H190-L190</f>
        <v>56454</v>
      </c>
      <c r="N190" s="116">
        <f>+IF(M190*12&lt;=416220.01,0,IF(M190*12&lt;=624329.01,(((M190*12-416220.01)*0.15)/12),IF((M190*12&lt;=867123.01),(31216+0.2*(M190*12-624329.01))/12,((79776+0.25*(M190*12-867123.01))/12))))-O190</f>
        <v>3486.6498333333329</v>
      </c>
      <c r="O190" s="116">
        <v>0</v>
      </c>
      <c r="P190" s="155">
        <v>25</v>
      </c>
      <c r="Q190" s="116">
        <f>+P190+N190+L190</f>
        <v>7057.6498333333329</v>
      </c>
      <c r="R190" s="163">
        <f>+H190-Q190</f>
        <v>52942.350166666671</v>
      </c>
    </row>
    <row r="191" spans="1:18" s="115" customFormat="1" ht="39.950000000000003" customHeight="1" x14ac:dyDescent="0.2">
      <c r="A191" s="156">
        <f>+A190+1</f>
        <v>86</v>
      </c>
      <c r="B191" s="167" t="s">
        <v>651</v>
      </c>
      <c r="C191" s="152" t="s">
        <v>338</v>
      </c>
      <c r="D191" s="153" t="s">
        <v>655</v>
      </c>
      <c r="E191" s="153" t="s">
        <v>180</v>
      </c>
      <c r="F191" s="153" t="s">
        <v>621</v>
      </c>
      <c r="G191" s="153" t="s">
        <v>654</v>
      </c>
      <c r="H191" s="193">
        <v>50000</v>
      </c>
      <c r="I191" s="97">
        <f>H191*2.87%</f>
        <v>1435</v>
      </c>
      <c r="J191" s="118">
        <f t="shared" si="72"/>
        <v>1520</v>
      </c>
      <c r="K191" s="118"/>
      <c r="L191" s="116">
        <f>+J191+I191+K191</f>
        <v>2955</v>
      </c>
      <c r="M191" s="116">
        <f>+H191-L191</f>
        <v>47045</v>
      </c>
      <c r="N191" s="116">
        <f>+IF(M191*12&lt;=416220.01,0,IF(M191*12&lt;=624329.01,(((M191*12-416220.01)*0.15)/12),IF((M191*12&lt;=867123.01),(31216+0.2*(M191*12-624329.01))/12,((79776+0.25*(M191*12-867123.01))/12))))-O191</f>
        <v>1853.9998749999997</v>
      </c>
      <c r="O191" s="116"/>
      <c r="P191" s="155">
        <v>25</v>
      </c>
      <c r="Q191" s="116">
        <f>+P191+N191+L191</f>
        <v>4833.9998749999995</v>
      </c>
      <c r="R191" s="163">
        <f>+H191-Q191</f>
        <v>45166.000124999999</v>
      </c>
    </row>
    <row r="192" spans="1:18" s="115" customFormat="1" ht="39.950000000000003" customHeight="1" x14ac:dyDescent="0.2">
      <c r="A192" s="370" t="s">
        <v>100</v>
      </c>
      <c r="B192" s="371"/>
      <c r="C192" s="100"/>
      <c r="D192" s="100"/>
      <c r="E192" s="100"/>
      <c r="F192" s="100"/>
      <c r="G192" s="100"/>
      <c r="H192" s="101">
        <f>SUM(H189:H191)</f>
        <v>260000</v>
      </c>
      <c r="I192" s="101">
        <f t="shared" ref="I192:R192" si="73">SUM(I189:I191)</f>
        <v>7462</v>
      </c>
      <c r="J192" s="101">
        <f t="shared" si="73"/>
        <v>7904</v>
      </c>
      <c r="K192" s="101">
        <f t="shared" si="73"/>
        <v>0</v>
      </c>
      <c r="L192" s="101">
        <f t="shared" si="73"/>
        <v>15366</v>
      </c>
      <c r="M192" s="101">
        <f t="shared" si="73"/>
        <v>244634</v>
      </c>
      <c r="N192" s="101">
        <f t="shared" si="73"/>
        <v>29207.337</v>
      </c>
      <c r="O192" s="101">
        <f t="shared" si="73"/>
        <v>0</v>
      </c>
      <c r="P192" s="101">
        <f t="shared" si="73"/>
        <v>3706.21</v>
      </c>
      <c r="Q192" s="101">
        <f t="shared" si="73"/>
        <v>48279.546999999999</v>
      </c>
      <c r="R192" s="101">
        <f t="shared" si="73"/>
        <v>211720.45300000001</v>
      </c>
    </row>
    <row r="193" spans="1:18" s="111" customFormat="1" ht="39.950000000000003" customHeight="1" thickBot="1" x14ac:dyDescent="0.25">
      <c r="A193" s="169"/>
      <c r="B193" s="169"/>
      <c r="C193" s="169"/>
      <c r="D193" s="169"/>
      <c r="E193" s="169"/>
      <c r="F193" s="169"/>
      <c r="G193" s="169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</row>
    <row r="194" spans="1:18" s="186" customFormat="1" ht="39.950000000000003" customHeight="1" thickBot="1" x14ac:dyDescent="0.25">
      <c r="A194" s="172" t="s">
        <v>147</v>
      </c>
      <c r="B194" s="173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</row>
    <row r="195" spans="1:18" s="182" customFormat="1" ht="39.950000000000003" customHeight="1" x14ac:dyDescent="0.2">
      <c r="A195" s="156">
        <f>+A191+1</f>
        <v>87</v>
      </c>
      <c r="B195" s="164" t="s">
        <v>354</v>
      </c>
      <c r="C195" s="152" t="s">
        <v>338</v>
      </c>
      <c r="D195" s="164" t="s">
        <v>349</v>
      </c>
      <c r="E195" s="153" t="s">
        <v>180</v>
      </c>
      <c r="F195" s="153" t="s">
        <v>576</v>
      </c>
      <c r="G195" s="153" t="s">
        <v>620</v>
      </c>
      <c r="H195" s="160">
        <v>70000</v>
      </c>
      <c r="I195" s="118">
        <f t="shared" ref="I195" si="74">H195*2.87%</f>
        <v>2009</v>
      </c>
      <c r="J195" s="118">
        <f>+H195*3.04%</f>
        <v>2128</v>
      </c>
      <c r="K195" s="118"/>
      <c r="L195" s="116">
        <f>+J195+I195+K195</f>
        <v>4137</v>
      </c>
      <c r="M195" s="116">
        <f>+H195-L195</f>
        <v>65863</v>
      </c>
      <c r="N195" s="116">
        <f>+IF(M195*12&lt;=416220.01,0,IF(M195*12&lt;=624329.01,(((M195*12-416220.01)*0.15)/12),IF((M195*12&lt;=867123.01),(31216+0.2*(M195*12-624329.01))/12,((79776+0.25*(M195*12-867123.01))/12))))-O195</f>
        <v>5368.4498333333331</v>
      </c>
      <c r="O195" s="116"/>
      <c r="P195" s="160">
        <v>8858.52</v>
      </c>
      <c r="Q195" s="116">
        <f>+P195+N195+L195</f>
        <v>18363.969833333333</v>
      </c>
      <c r="R195" s="155">
        <f>+H195-Q195</f>
        <v>51636.030166666664</v>
      </c>
    </row>
    <row r="196" spans="1:18" s="111" customFormat="1" ht="39.950000000000003" customHeight="1" x14ac:dyDescent="0.2">
      <c r="A196" s="156">
        <f>+A195+1</f>
        <v>88</v>
      </c>
      <c r="B196" s="164" t="s">
        <v>187</v>
      </c>
      <c r="C196" s="152" t="s">
        <v>338</v>
      </c>
      <c r="D196" s="164" t="s">
        <v>186</v>
      </c>
      <c r="E196" s="153" t="s">
        <v>180</v>
      </c>
      <c r="F196" s="158" t="s">
        <v>599</v>
      </c>
      <c r="G196" s="158" t="s">
        <v>636</v>
      </c>
      <c r="H196" s="160">
        <v>70000</v>
      </c>
      <c r="I196" s="118">
        <f>H196*2.87%</f>
        <v>2009</v>
      </c>
      <c r="J196" s="118">
        <f t="shared" ref="J196" si="75">+H196*3.04%</f>
        <v>2128</v>
      </c>
      <c r="K196" s="118"/>
      <c r="L196" s="116">
        <f>+J196+I196+K196</f>
        <v>4137</v>
      </c>
      <c r="M196" s="116">
        <f>+H196-L196</f>
        <v>65863</v>
      </c>
      <c r="N196" s="116">
        <f>+IF(M196*12&lt;=416220.01,0,IF(M196*12&lt;=624329.01,(((M196*12-416220.01)*0.15)/12),IF((M196*12&lt;=867123.01),(31216+0.2*(M196*12-624329.01))/12,((79776+0.25*(M196*12-867123.01))/12))))-O196</f>
        <v>5368.4498333333331</v>
      </c>
      <c r="O196" s="116"/>
      <c r="P196" s="155">
        <v>25</v>
      </c>
      <c r="Q196" s="116">
        <f>+P196+N196+L196</f>
        <v>9530.4498333333322</v>
      </c>
      <c r="R196" s="155">
        <f>+H196-Q196</f>
        <v>60469.550166666668</v>
      </c>
    </row>
    <row r="197" spans="1:18" s="182" customFormat="1" ht="39.950000000000003" customHeight="1" x14ac:dyDescent="0.2">
      <c r="A197" s="370" t="s">
        <v>100</v>
      </c>
      <c r="B197" s="371"/>
      <c r="C197" s="100"/>
      <c r="D197" s="100"/>
      <c r="E197" s="100"/>
      <c r="F197" s="100"/>
      <c r="G197" s="100"/>
      <c r="H197" s="101">
        <f>SUM(H195:H196)</f>
        <v>140000</v>
      </c>
      <c r="I197" s="101">
        <f t="shared" ref="I197:R197" si="76">SUM(I195:I196)</f>
        <v>4018</v>
      </c>
      <c r="J197" s="101">
        <f t="shared" si="76"/>
        <v>4256</v>
      </c>
      <c r="K197" s="101">
        <f t="shared" si="76"/>
        <v>0</v>
      </c>
      <c r="L197" s="101">
        <f t="shared" si="76"/>
        <v>8274</v>
      </c>
      <c r="M197" s="101">
        <f t="shared" si="76"/>
        <v>131726</v>
      </c>
      <c r="N197" s="101">
        <f t="shared" si="76"/>
        <v>10736.899666666666</v>
      </c>
      <c r="O197" s="101">
        <f t="shared" si="76"/>
        <v>0</v>
      </c>
      <c r="P197" s="101">
        <f t="shared" si="76"/>
        <v>8883.52</v>
      </c>
      <c r="Q197" s="101">
        <f t="shared" si="76"/>
        <v>27894.419666666665</v>
      </c>
      <c r="R197" s="101">
        <f t="shared" si="76"/>
        <v>112105.58033333333</v>
      </c>
    </row>
    <row r="198" spans="1:18" s="111" customFormat="1" ht="39.950000000000003" customHeight="1" thickBot="1" x14ac:dyDescent="0.25">
      <c r="A198" s="113"/>
      <c r="B198" s="144"/>
      <c r="C198" s="113"/>
      <c r="D198" s="195"/>
      <c r="E198" s="195"/>
      <c r="F198" s="195"/>
      <c r="G198" s="195"/>
    </row>
    <row r="199" spans="1:18" s="111" customFormat="1" ht="39.950000000000003" customHeight="1" thickBot="1" x14ac:dyDescent="0.25">
      <c r="A199" s="172" t="s">
        <v>255</v>
      </c>
      <c r="B199" s="173"/>
      <c r="C199" s="173"/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</row>
    <row r="200" spans="1:18" s="115" customFormat="1" ht="39.950000000000003" customHeight="1" x14ac:dyDescent="0.2">
      <c r="A200" s="152">
        <f>+A196+1</f>
        <v>89</v>
      </c>
      <c r="B200" s="157" t="s">
        <v>598</v>
      </c>
      <c r="C200" s="130" t="s">
        <v>338</v>
      </c>
      <c r="D200" s="323" t="s">
        <v>600</v>
      </c>
      <c r="E200" s="153" t="s">
        <v>180</v>
      </c>
      <c r="F200" s="158" t="s">
        <v>599</v>
      </c>
      <c r="G200" s="158" t="s">
        <v>636</v>
      </c>
      <c r="H200" s="116">
        <v>170000</v>
      </c>
      <c r="I200" s="116">
        <f>H200*2.87%</f>
        <v>4879</v>
      </c>
      <c r="J200" s="118">
        <f t="shared" ref="J200" si="77">+H200*3.04%</f>
        <v>5168</v>
      </c>
      <c r="K200" s="118"/>
      <c r="L200" s="116">
        <f>+J200+I200+K200</f>
        <v>10047</v>
      </c>
      <c r="M200" s="116">
        <f>+H200-L200</f>
        <v>159953</v>
      </c>
      <c r="N200" s="116">
        <f>+IF(M200*12&lt;=416220.01,0,IF(M200*12&lt;=624329.01,(((M200*12-416220.01)*0.15)/12),IF((M200*12&lt;=867123.01),(31216+0.2*(M200*12-624329.01))/12,((79776+0.25*(M200*12-867123.01))/12))))-O200</f>
        <v>28571.187291666665</v>
      </c>
      <c r="O200" s="116"/>
      <c r="P200" s="155">
        <v>4525</v>
      </c>
      <c r="Q200" s="116">
        <f>+P200+N200+L200</f>
        <v>43143.187291666662</v>
      </c>
      <c r="R200" s="155">
        <f>+H200-Q200</f>
        <v>126856.81270833334</v>
      </c>
    </row>
    <row r="201" spans="1:18" s="115" customFormat="1" ht="39.950000000000003" customHeight="1" x14ac:dyDescent="0.2">
      <c r="A201" s="152">
        <f>+A200+1</f>
        <v>90</v>
      </c>
      <c r="B201" s="157" t="s">
        <v>630</v>
      </c>
      <c r="C201" s="130" t="s">
        <v>339</v>
      </c>
      <c r="D201" s="323" t="s">
        <v>633</v>
      </c>
      <c r="E201" s="153" t="s">
        <v>180</v>
      </c>
      <c r="F201" s="153" t="s">
        <v>588</v>
      </c>
      <c r="G201" s="153" t="s">
        <v>632</v>
      </c>
      <c r="H201" s="116">
        <v>50000</v>
      </c>
      <c r="I201" s="116">
        <f>H201*2.87%</f>
        <v>1435</v>
      </c>
      <c r="J201" s="118">
        <f t="shared" ref="J201" si="78">+H201*3.04%</f>
        <v>1520</v>
      </c>
      <c r="K201" s="118">
        <v>1919.78</v>
      </c>
      <c r="L201" s="116">
        <f>+J201+I201+K201</f>
        <v>4874.78</v>
      </c>
      <c r="M201" s="116">
        <f>+H201-L201</f>
        <v>45125.22</v>
      </c>
      <c r="N201" s="116">
        <f>+IF(M201*12&lt;=416220.01,0,IF(M201*12&lt;=624329.01,(((M201*12-416220.01)*0.15)/12),IF((M201*12&lt;=867123.01),(31216+0.2*(M201*12-624329.01))/12,((79776+0.25*(M201*12-867123.01))/12))))-O201</f>
        <v>1566.0328749999999</v>
      </c>
      <c r="O201" s="116"/>
      <c r="P201" s="155">
        <v>1313.82</v>
      </c>
      <c r="Q201" s="116">
        <f>+P201+N201+L201</f>
        <v>7754.6328749999993</v>
      </c>
      <c r="R201" s="155">
        <f>+H201-Q201</f>
        <v>42245.367125000004</v>
      </c>
    </row>
    <row r="202" spans="1:18" s="115" customFormat="1" ht="39.950000000000003" customHeight="1" x14ac:dyDescent="0.2">
      <c r="A202" s="370" t="s">
        <v>100</v>
      </c>
      <c r="B202" s="371"/>
      <c r="C202" s="100"/>
      <c r="D202" s="100"/>
      <c r="E202" s="183"/>
      <c r="F202" s="183"/>
      <c r="G202" s="184"/>
      <c r="H202" s="101">
        <f t="shared" ref="H202:Q202" si="79">+SUM(H200:H201)</f>
        <v>220000</v>
      </c>
      <c r="I202" s="101">
        <f t="shared" si="79"/>
        <v>6314</v>
      </c>
      <c r="J202" s="101">
        <f t="shared" si="79"/>
        <v>6688</v>
      </c>
      <c r="K202" s="101">
        <f t="shared" si="79"/>
        <v>1919.78</v>
      </c>
      <c r="L202" s="101">
        <f t="shared" si="79"/>
        <v>14921.779999999999</v>
      </c>
      <c r="M202" s="101">
        <f t="shared" si="79"/>
        <v>205078.22</v>
      </c>
      <c r="N202" s="101">
        <f t="shared" si="79"/>
        <v>30137.220166666666</v>
      </c>
      <c r="O202" s="101">
        <f t="shared" si="79"/>
        <v>0</v>
      </c>
      <c r="P202" s="101">
        <f t="shared" si="79"/>
        <v>5838.82</v>
      </c>
      <c r="Q202" s="101">
        <f t="shared" si="79"/>
        <v>50897.820166666657</v>
      </c>
      <c r="R202" s="101">
        <f>+SUM(R200:R201)</f>
        <v>169102.17983333336</v>
      </c>
    </row>
    <row r="203" spans="1:18" s="186" customFormat="1" ht="39.950000000000003" customHeight="1" thickBot="1" x14ac:dyDescent="0.25">
      <c r="A203" s="174"/>
      <c r="B203" s="174"/>
      <c r="C203" s="174"/>
      <c r="D203" s="174"/>
      <c r="E203" s="174"/>
      <c r="F203" s="174"/>
      <c r="G203" s="174"/>
      <c r="H203" s="196"/>
      <c r="I203" s="196"/>
      <c r="J203" s="196"/>
      <c r="K203" s="196"/>
      <c r="L203" s="196"/>
      <c r="M203" s="196"/>
      <c r="N203" s="196"/>
      <c r="O203" s="196"/>
      <c r="P203" s="196"/>
      <c r="Q203" s="196"/>
      <c r="R203" s="196"/>
    </row>
    <row r="204" spans="1:18" s="111" customFormat="1" ht="39.950000000000003" customHeight="1" thickBot="1" x14ac:dyDescent="0.25">
      <c r="A204" s="172" t="s">
        <v>317</v>
      </c>
      <c r="B204" s="173"/>
      <c r="C204" s="173"/>
      <c r="D204" s="173"/>
      <c r="E204" s="173"/>
      <c r="F204" s="173"/>
      <c r="G204" s="173"/>
      <c r="H204" s="173"/>
      <c r="I204" s="173"/>
      <c r="J204" s="173"/>
      <c r="K204" s="187"/>
      <c r="L204" s="173"/>
      <c r="M204" s="173"/>
      <c r="N204" s="173"/>
      <c r="O204" s="173"/>
      <c r="P204" s="173"/>
      <c r="Q204" s="173"/>
      <c r="R204" s="173"/>
    </row>
    <row r="205" spans="1:18" s="186" customFormat="1" ht="39.950000000000003" customHeight="1" x14ac:dyDescent="0.2">
      <c r="A205" s="156">
        <f>+A201+1</f>
        <v>91</v>
      </c>
      <c r="B205" s="164" t="s">
        <v>478</v>
      </c>
      <c r="C205" s="152" t="s">
        <v>338</v>
      </c>
      <c r="D205" s="153" t="s">
        <v>480</v>
      </c>
      <c r="E205" s="153" t="s">
        <v>180</v>
      </c>
      <c r="F205" s="153" t="s">
        <v>599</v>
      </c>
      <c r="G205" s="153" t="s">
        <v>648</v>
      </c>
      <c r="H205" s="118">
        <v>145000</v>
      </c>
      <c r="I205" s="97">
        <f>H205*2.87%</f>
        <v>4161.5</v>
      </c>
      <c r="J205" s="97">
        <f>+H205*3.04%</f>
        <v>4408</v>
      </c>
      <c r="K205" s="97"/>
      <c r="L205" s="116">
        <f>+J205+I205+K205</f>
        <v>8569.5</v>
      </c>
      <c r="M205" s="116">
        <f>+H205-L205</f>
        <v>136430.5</v>
      </c>
      <c r="N205" s="116">
        <f t="shared" ref="N205:N210" si="80">+IF(M205*12&lt;=416220.01,0,IF(M205*12&lt;=624329.01,(((M205*12-416220.01)*0.15)/12),IF((M205*12&lt;=867123.01),(31216+0.2*(M205*12-624329.01))/12,((79776+0.25*(M205*12-867123.01))/12))))-O205</f>
        <v>22690.562291666665</v>
      </c>
      <c r="O205" s="116"/>
      <c r="P205" s="160">
        <f>100+125</f>
        <v>225</v>
      </c>
      <c r="Q205" s="116">
        <f t="shared" ref="Q205:Q210" si="81">+P205+N205+L205</f>
        <v>31485.062291666665</v>
      </c>
      <c r="R205" s="163">
        <f t="shared" ref="R205:R210" si="82">+H205-Q205</f>
        <v>113514.93770833334</v>
      </c>
    </row>
    <row r="206" spans="1:18" s="111" customFormat="1" ht="39.950000000000003" customHeight="1" x14ac:dyDescent="0.2">
      <c r="A206" s="156">
        <f>+A205+1</f>
        <v>92</v>
      </c>
      <c r="B206" s="164" t="s">
        <v>66</v>
      </c>
      <c r="C206" s="152" t="s">
        <v>338</v>
      </c>
      <c r="D206" s="153" t="s">
        <v>78</v>
      </c>
      <c r="E206" s="153" t="s">
        <v>180</v>
      </c>
      <c r="F206" s="153" t="s">
        <v>576</v>
      </c>
      <c r="G206" s="153" t="s">
        <v>620</v>
      </c>
      <c r="H206" s="118">
        <v>95000</v>
      </c>
      <c r="I206" s="97">
        <f t="shared" ref="I206" si="83">H206*2.87%</f>
        <v>2726.5</v>
      </c>
      <c r="J206" s="97">
        <f t="shared" ref="J206" si="84">+H206*3.04%</f>
        <v>2888</v>
      </c>
      <c r="K206" s="97"/>
      <c r="L206" s="118">
        <f t="shared" ref="L206:L210" si="85">+J206+I206+K206</f>
        <v>5614.5</v>
      </c>
      <c r="M206" s="118">
        <f t="shared" ref="M206:M210" si="86">+H206-L206</f>
        <v>89385.5</v>
      </c>
      <c r="N206" s="116">
        <f t="shared" si="80"/>
        <v>10929.312291666667</v>
      </c>
      <c r="O206" s="118"/>
      <c r="P206" s="160">
        <v>2524.7600000000002</v>
      </c>
      <c r="Q206" s="116">
        <f t="shared" si="81"/>
        <v>19068.572291666667</v>
      </c>
      <c r="R206" s="155">
        <f t="shared" si="82"/>
        <v>75931.427708333329</v>
      </c>
    </row>
    <row r="207" spans="1:18" s="186" customFormat="1" ht="39.950000000000003" customHeight="1" x14ac:dyDescent="0.2">
      <c r="A207" s="156">
        <f t="shared" ref="A207" si="87">+A206+1</f>
        <v>93</v>
      </c>
      <c r="B207" s="164" t="s">
        <v>479</v>
      </c>
      <c r="C207" s="152" t="s">
        <v>338</v>
      </c>
      <c r="D207" s="153" t="s">
        <v>63</v>
      </c>
      <c r="E207" s="153" t="s">
        <v>180</v>
      </c>
      <c r="F207" s="153" t="s">
        <v>599</v>
      </c>
      <c r="G207" s="153" t="s">
        <v>648</v>
      </c>
      <c r="H207" s="118">
        <v>95000</v>
      </c>
      <c r="I207" s="97">
        <f>H207*2.87%</f>
        <v>2726.5</v>
      </c>
      <c r="J207" s="97">
        <f>+H207*3.04%</f>
        <v>2888</v>
      </c>
      <c r="K207" s="97"/>
      <c r="L207" s="118">
        <f>+J207+I207+K207</f>
        <v>5614.5</v>
      </c>
      <c r="M207" s="118">
        <f>+H207-L207</f>
        <v>89385.5</v>
      </c>
      <c r="N207" s="116">
        <f t="shared" si="80"/>
        <v>10929.312291666667</v>
      </c>
      <c r="O207" s="118"/>
      <c r="P207" s="160">
        <v>225</v>
      </c>
      <c r="Q207" s="116">
        <f t="shared" si="81"/>
        <v>16768.812291666669</v>
      </c>
      <c r="R207" s="163">
        <f t="shared" si="82"/>
        <v>78231.187708333338</v>
      </c>
    </row>
    <row r="208" spans="1:18" s="186" customFormat="1" ht="39.950000000000003" customHeight="1" x14ac:dyDescent="0.2">
      <c r="A208" s="156">
        <f>+A207+1</f>
        <v>94</v>
      </c>
      <c r="B208" s="164" t="s">
        <v>423</v>
      </c>
      <c r="C208" s="152" t="s">
        <v>338</v>
      </c>
      <c r="D208" s="153" t="s">
        <v>63</v>
      </c>
      <c r="E208" s="153" t="s">
        <v>180</v>
      </c>
      <c r="F208" s="153" t="s">
        <v>621</v>
      </c>
      <c r="G208" s="153" t="s">
        <v>654</v>
      </c>
      <c r="H208" s="118">
        <v>80000</v>
      </c>
      <c r="I208" s="97">
        <f t="shared" ref="I208" si="88">H208*2.87%</f>
        <v>2296</v>
      </c>
      <c r="J208" s="97">
        <f t="shared" ref="J208" si="89">+H208*3.04%</f>
        <v>2432</v>
      </c>
      <c r="K208" s="97">
        <f>1919.78*2</f>
        <v>3839.56</v>
      </c>
      <c r="L208" s="118">
        <f t="shared" si="85"/>
        <v>8567.56</v>
      </c>
      <c r="M208" s="118">
        <f t="shared" si="86"/>
        <v>71432.44</v>
      </c>
      <c r="N208" s="116">
        <f t="shared" si="80"/>
        <v>6482.3378333333339</v>
      </c>
      <c r="O208" s="118">
        <v>0</v>
      </c>
      <c r="P208" s="160">
        <f>100+125</f>
        <v>225</v>
      </c>
      <c r="Q208" s="116">
        <f t="shared" si="81"/>
        <v>15274.897833333333</v>
      </c>
      <c r="R208" s="155">
        <f t="shared" si="82"/>
        <v>64725.102166666664</v>
      </c>
    </row>
    <row r="209" spans="1:18" s="111" customFormat="1" ht="39.950000000000003" customHeight="1" x14ac:dyDescent="0.2">
      <c r="A209" s="156">
        <f t="shared" ref="A209" si="90">+A208+1</f>
        <v>95</v>
      </c>
      <c r="B209" s="109" t="s">
        <v>350</v>
      </c>
      <c r="C209" s="108" t="s">
        <v>338</v>
      </c>
      <c r="D209" s="104" t="s">
        <v>488</v>
      </c>
      <c r="E209" s="107" t="s">
        <v>180</v>
      </c>
      <c r="F209" s="153" t="s">
        <v>588</v>
      </c>
      <c r="G209" s="153" t="s">
        <v>632</v>
      </c>
      <c r="H209" s="162">
        <v>75000</v>
      </c>
      <c r="I209" s="97">
        <f>H209*2.87%</f>
        <v>2152.5</v>
      </c>
      <c r="J209" s="97">
        <f>+H209*3.04%</f>
        <v>2280</v>
      </c>
      <c r="K209" s="97">
        <v>1919.78</v>
      </c>
      <c r="L209" s="118">
        <f t="shared" si="85"/>
        <v>6352.28</v>
      </c>
      <c r="M209" s="118">
        <f t="shared" si="86"/>
        <v>68647.72</v>
      </c>
      <c r="N209" s="116">
        <f t="shared" si="80"/>
        <v>5925.3938333333326</v>
      </c>
      <c r="O209" s="118">
        <v>0</v>
      </c>
      <c r="P209" s="160">
        <f>100+125</f>
        <v>225</v>
      </c>
      <c r="Q209" s="116">
        <f t="shared" si="81"/>
        <v>12502.673833333332</v>
      </c>
      <c r="R209" s="163">
        <f t="shared" si="82"/>
        <v>62497.326166666666</v>
      </c>
    </row>
    <row r="210" spans="1:18" s="111" customFormat="1" ht="39.950000000000003" customHeight="1" x14ac:dyDescent="0.2">
      <c r="A210" s="156">
        <f>+A209+1</f>
        <v>96</v>
      </c>
      <c r="B210" s="109" t="s">
        <v>619</v>
      </c>
      <c r="C210" s="108" t="s">
        <v>338</v>
      </c>
      <c r="D210" s="104" t="s">
        <v>628</v>
      </c>
      <c r="E210" s="107" t="s">
        <v>180</v>
      </c>
      <c r="F210" s="153" t="s">
        <v>576</v>
      </c>
      <c r="G210" s="153" t="s">
        <v>620</v>
      </c>
      <c r="H210" s="162">
        <v>50000</v>
      </c>
      <c r="I210" s="97">
        <f>H210*2.87%</f>
        <v>1435</v>
      </c>
      <c r="J210" s="97">
        <f>+H210*3.04%</f>
        <v>1520</v>
      </c>
      <c r="K210" s="97"/>
      <c r="L210" s="118">
        <f t="shared" si="85"/>
        <v>2955</v>
      </c>
      <c r="M210" s="118">
        <f t="shared" si="86"/>
        <v>47045</v>
      </c>
      <c r="N210" s="116">
        <f t="shared" si="80"/>
        <v>1853.9998749999997</v>
      </c>
      <c r="O210" s="118"/>
      <c r="P210" s="160">
        <v>25</v>
      </c>
      <c r="Q210" s="116">
        <f t="shared" si="81"/>
        <v>4833.9998749999995</v>
      </c>
      <c r="R210" s="163">
        <f t="shared" si="82"/>
        <v>45166.000124999999</v>
      </c>
    </row>
    <row r="211" spans="1:18" s="111" customFormat="1" ht="39.950000000000003" customHeight="1" x14ac:dyDescent="0.2">
      <c r="A211" s="156">
        <f>+A210+1</f>
        <v>97</v>
      </c>
      <c r="B211" s="164" t="s">
        <v>455</v>
      </c>
      <c r="C211" s="152" t="s">
        <v>338</v>
      </c>
      <c r="D211" s="104" t="s">
        <v>488</v>
      </c>
      <c r="E211" s="107" t="s">
        <v>180</v>
      </c>
      <c r="F211" s="153" t="s">
        <v>576</v>
      </c>
      <c r="G211" s="153" t="s">
        <v>620</v>
      </c>
      <c r="H211" s="162">
        <v>80000</v>
      </c>
      <c r="I211" s="105">
        <f>H211*2.87%</f>
        <v>2296</v>
      </c>
      <c r="J211" s="105">
        <f>+H211*3.04%</f>
        <v>2432</v>
      </c>
      <c r="K211" s="105"/>
      <c r="L211" s="116">
        <f>+J211+I211+K211</f>
        <v>4728</v>
      </c>
      <c r="M211" s="116">
        <f>+H211-L211</f>
        <v>75272</v>
      </c>
      <c r="N211" s="116">
        <f>+IF(M211*12&lt;=416220.01,0,IF(M211*12&lt;=624329.01,(((M211*12-416220.01)*0.15)/12),IF((M211*12&lt;=867123.01),(31216+0.2*(M211*12-624329.01))/12,((79776+0.25*(M211*12-867123.01))/12))))-O211</f>
        <v>7400.9372916666662</v>
      </c>
      <c r="O211" s="116"/>
      <c r="P211" s="97">
        <v>225</v>
      </c>
      <c r="Q211" s="116">
        <f>+P211+N211+L211</f>
        <v>12353.937291666665</v>
      </c>
      <c r="R211" s="163">
        <f>H211-Q211</f>
        <v>67646.062708333338</v>
      </c>
    </row>
    <row r="212" spans="1:18" s="111" customFormat="1" ht="39.950000000000003" customHeight="1" x14ac:dyDescent="0.2">
      <c r="A212" s="370" t="s">
        <v>100</v>
      </c>
      <c r="B212" s="371"/>
      <c r="C212" s="100"/>
      <c r="D212" s="100"/>
      <c r="E212" s="100"/>
      <c r="F212" s="100"/>
      <c r="G212" s="197"/>
      <c r="H212" s="101">
        <f>SUM(H205:H211)</f>
        <v>620000</v>
      </c>
      <c r="I212" s="101">
        <f t="shared" ref="I212:R212" si="91">SUM(I205:I211)</f>
        <v>17794</v>
      </c>
      <c r="J212" s="101">
        <f t="shared" si="91"/>
        <v>18848</v>
      </c>
      <c r="K212" s="101">
        <f t="shared" si="91"/>
        <v>5759.34</v>
      </c>
      <c r="L212" s="101">
        <f t="shared" si="91"/>
        <v>42401.34</v>
      </c>
      <c r="M212" s="101">
        <f t="shared" si="91"/>
        <v>577598.66</v>
      </c>
      <c r="N212" s="101">
        <f t="shared" si="91"/>
        <v>66211.855708333329</v>
      </c>
      <c r="O212" s="101">
        <f t="shared" si="91"/>
        <v>0</v>
      </c>
      <c r="P212" s="101">
        <f t="shared" si="91"/>
        <v>3674.76</v>
      </c>
      <c r="Q212" s="101">
        <f t="shared" si="91"/>
        <v>112287.95570833332</v>
      </c>
      <c r="R212" s="101">
        <f t="shared" si="91"/>
        <v>507712.04429166671</v>
      </c>
    </row>
    <row r="213" spans="1:18" s="111" customFormat="1" ht="39.950000000000003" customHeight="1" thickBot="1" x14ac:dyDescent="0.25">
      <c r="A213" s="169"/>
      <c r="B213" s="169"/>
      <c r="C213" s="169"/>
      <c r="D213" s="169"/>
      <c r="E213" s="169"/>
      <c r="F213" s="169"/>
      <c r="G213" s="169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</row>
    <row r="214" spans="1:18" s="111" customFormat="1" ht="39.950000000000003" customHeight="1" thickBot="1" x14ac:dyDescent="0.25">
      <c r="A214" s="172" t="s">
        <v>259</v>
      </c>
      <c r="B214" s="173"/>
      <c r="C214" s="173"/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</row>
    <row r="215" spans="1:18" s="111" customFormat="1" ht="39.950000000000003" customHeight="1" x14ac:dyDescent="0.2">
      <c r="A215" s="152">
        <f>+A211+1</f>
        <v>98</v>
      </c>
      <c r="B215" s="164" t="s">
        <v>564</v>
      </c>
      <c r="C215" s="152" t="s">
        <v>338</v>
      </c>
      <c r="D215" s="153" t="s">
        <v>359</v>
      </c>
      <c r="E215" s="153" t="s">
        <v>180</v>
      </c>
      <c r="F215" s="153" t="s">
        <v>621</v>
      </c>
      <c r="G215" s="153" t="s">
        <v>654</v>
      </c>
      <c r="H215" s="116">
        <v>145000</v>
      </c>
      <c r="I215" s="116">
        <f>H215*2.87%</f>
        <v>4161.5</v>
      </c>
      <c r="J215" s="116">
        <f>+H215*3.04%</f>
        <v>4408</v>
      </c>
      <c r="K215" s="116">
        <v>1919.78</v>
      </c>
      <c r="L215" s="116">
        <f t="shared" ref="L215:L217" si="92">+J215+I215+K215</f>
        <v>10489.28</v>
      </c>
      <c r="M215" s="116">
        <f t="shared" ref="M215:M217" si="93">+H215-L215</f>
        <v>134510.72</v>
      </c>
      <c r="N215" s="116">
        <f>+IF(M215*12&lt;=416220.01,0,IF(M215*12&lt;=624329.01,(((M215*12-416220.01)*0.15)/12),IF((M215*12&lt;=867123.01),(31216+0.2*(M215*12-624329.01))/12,((79776+0.25*(M215*12-867123.01))/12))))-O215</f>
        <v>22210.617291666669</v>
      </c>
      <c r="O215" s="116"/>
      <c r="P215" s="160">
        <v>5090.29</v>
      </c>
      <c r="Q215" s="116">
        <f>+P215+N215+L215</f>
        <v>37790.187291666669</v>
      </c>
      <c r="R215" s="160">
        <f>+H215-Q215</f>
        <v>107209.81270833334</v>
      </c>
    </row>
    <row r="216" spans="1:18" s="111" customFormat="1" ht="39.950000000000003" customHeight="1" x14ac:dyDescent="0.2">
      <c r="A216" s="152">
        <f>+A215+1</f>
        <v>99</v>
      </c>
      <c r="B216" s="109" t="s">
        <v>397</v>
      </c>
      <c r="C216" s="108" t="s">
        <v>338</v>
      </c>
      <c r="D216" s="109" t="s">
        <v>393</v>
      </c>
      <c r="E216" s="107" t="s">
        <v>180</v>
      </c>
      <c r="F216" s="153" t="s">
        <v>576</v>
      </c>
      <c r="G216" s="153" t="s">
        <v>620</v>
      </c>
      <c r="H216" s="162">
        <v>110000</v>
      </c>
      <c r="I216" s="118">
        <f>H216*2.87%</f>
        <v>3157</v>
      </c>
      <c r="J216" s="118">
        <f>+H216*3.04%</f>
        <v>3344</v>
      </c>
      <c r="K216" s="118">
        <f>1919.78*3</f>
        <v>5759.34</v>
      </c>
      <c r="L216" s="118">
        <f t="shared" si="92"/>
        <v>12260.34</v>
      </c>
      <c r="M216" s="118">
        <f t="shared" si="93"/>
        <v>97739.66</v>
      </c>
      <c r="N216" s="116">
        <f>+IF(M216*12&lt;=416220.01,0,IF(M216*12&lt;=624329.01,(((M216*12-416220.01)*0.15)/12),IF((M216*12&lt;=867123.01),(31216+0.2*(M216*12-624329.01))/12,((79776+0.25*(M216*12-867123.01))/12))))-O216</f>
        <v>13017.852291666664</v>
      </c>
      <c r="O216" s="118"/>
      <c r="P216" s="155">
        <v>6817.14</v>
      </c>
      <c r="Q216" s="116">
        <f>+P216+N216+L216</f>
        <v>32095.332291666666</v>
      </c>
      <c r="R216" s="155">
        <f>+H216-Q216</f>
        <v>77904.667708333334</v>
      </c>
    </row>
    <row r="217" spans="1:18" s="111" customFormat="1" ht="39.950000000000003" customHeight="1" x14ac:dyDescent="0.2">
      <c r="A217" s="156">
        <f>+A216+1</f>
        <v>100</v>
      </c>
      <c r="B217" s="154" t="s">
        <v>167</v>
      </c>
      <c r="C217" s="156" t="s">
        <v>338</v>
      </c>
      <c r="D217" s="175" t="s">
        <v>318</v>
      </c>
      <c r="E217" s="175" t="s">
        <v>180</v>
      </c>
      <c r="F217" s="153" t="s">
        <v>599</v>
      </c>
      <c r="G217" s="153" t="s">
        <v>648</v>
      </c>
      <c r="H217" s="118">
        <v>55000</v>
      </c>
      <c r="I217" s="118">
        <f>H217*2.87%</f>
        <v>1578.5</v>
      </c>
      <c r="J217" s="118">
        <f>+H217*3.04%</f>
        <v>1672</v>
      </c>
      <c r="K217" s="118">
        <v>0</v>
      </c>
      <c r="L217" s="118">
        <f t="shared" si="92"/>
        <v>3250.5</v>
      </c>
      <c r="M217" s="118">
        <f t="shared" si="93"/>
        <v>51749.5</v>
      </c>
      <c r="N217" s="116">
        <f>+IF(M217*12&lt;=416220.01,0,IF(M217*12&lt;=624329.01,(((M217*12-416220.01)*0.15)/12),IF((M217*12&lt;=867123.01),(31216+0.2*(M217*12-624329.01))/12,((79776+0.25*(M217*12-867123.01))/12))))-O217</f>
        <v>2559.6748749999997</v>
      </c>
      <c r="O217" s="118"/>
      <c r="P217" s="160">
        <v>5290.29</v>
      </c>
      <c r="Q217" s="116">
        <f>+P217+N217+L217</f>
        <v>11100.464875</v>
      </c>
      <c r="R217" s="155">
        <f>+H217-Q217</f>
        <v>43899.535125000002</v>
      </c>
    </row>
    <row r="218" spans="1:18" s="111" customFormat="1" ht="39.950000000000003" customHeight="1" x14ac:dyDescent="0.2">
      <c r="A218" s="370" t="s">
        <v>100</v>
      </c>
      <c r="B218" s="371"/>
      <c r="C218" s="183"/>
      <c r="D218" s="183"/>
      <c r="E218" s="183"/>
      <c r="F218" s="183"/>
      <c r="G218" s="183"/>
      <c r="H218" s="101">
        <f t="shared" ref="H218:R218" si="94">SUM(H215:H217)</f>
        <v>310000</v>
      </c>
      <c r="I218" s="101">
        <f t="shared" si="94"/>
        <v>8897</v>
      </c>
      <c r="J218" s="101">
        <f t="shared" si="94"/>
        <v>9424</v>
      </c>
      <c r="K218" s="101">
        <f t="shared" si="94"/>
        <v>7679.12</v>
      </c>
      <c r="L218" s="101">
        <f t="shared" si="94"/>
        <v>26000.120000000003</v>
      </c>
      <c r="M218" s="101">
        <f t="shared" si="94"/>
        <v>283999.88</v>
      </c>
      <c r="N218" s="101">
        <f t="shared" si="94"/>
        <v>37788.144458333329</v>
      </c>
      <c r="O218" s="101">
        <f t="shared" si="94"/>
        <v>0</v>
      </c>
      <c r="P218" s="101">
        <f t="shared" si="94"/>
        <v>17197.72</v>
      </c>
      <c r="Q218" s="101">
        <f t="shared" si="94"/>
        <v>80985.984458333347</v>
      </c>
      <c r="R218" s="101">
        <f t="shared" si="94"/>
        <v>229014.01554166665</v>
      </c>
    </row>
    <row r="219" spans="1:18" s="111" customFormat="1" ht="39.950000000000003" customHeight="1" thickBot="1" x14ac:dyDescent="0.25">
      <c r="A219" s="169"/>
      <c r="B219" s="169"/>
      <c r="C219" s="169"/>
      <c r="D219" s="169"/>
      <c r="E219" s="169"/>
      <c r="F219" s="169"/>
      <c r="G219" s="169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</row>
    <row r="220" spans="1:18" s="115" customFormat="1" ht="39.950000000000003" customHeight="1" thickBot="1" x14ac:dyDescent="0.25">
      <c r="A220" s="172" t="s">
        <v>194</v>
      </c>
      <c r="B220" s="173"/>
      <c r="C220" s="173"/>
      <c r="D220" s="173"/>
      <c r="E220" s="173"/>
      <c r="F220" s="173"/>
      <c r="G220" s="173"/>
      <c r="H220" s="173"/>
      <c r="I220" s="173"/>
      <c r="J220" s="173"/>
      <c r="K220" s="173"/>
      <c r="L220" s="173"/>
      <c r="M220" s="173"/>
      <c r="N220" s="173"/>
      <c r="O220" s="173"/>
      <c r="P220" s="173"/>
      <c r="Q220" s="173"/>
      <c r="R220" s="173"/>
    </row>
    <row r="221" spans="1:18" s="111" customFormat="1" ht="39.950000000000003" customHeight="1" x14ac:dyDescent="0.2">
      <c r="A221" s="152">
        <f>+A217+1</f>
        <v>101</v>
      </c>
      <c r="B221" s="109" t="s">
        <v>189</v>
      </c>
      <c r="C221" s="108" t="s">
        <v>338</v>
      </c>
      <c r="D221" s="109" t="s">
        <v>626</v>
      </c>
      <c r="E221" s="107" t="s">
        <v>180</v>
      </c>
      <c r="F221" s="158" t="s">
        <v>599</v>
      </c>
      <c r="G221" s="158" t="s">
        <v>636</v>
      </c>
      <c r="H221" s="165">
        <v>95000</v>
      </c>
      <c r="I221" s="97">
        <f t="shared" ref="I221" si="95">H221*2.87%</f>
        <v>2726.5</v>
      </c>
      <c r="J221" s="97">
        <f t="shared" ref="J221" si="96">+H221*3.04%</f>
        <v>2888</v>
      </c>
      <c r="K221" s="97"/>
      <c r="L221" s="118">
        <f>+J221+I221+K221</f>
        <v>5614.5</v>
      </c>
      <c r="M221" s="118">
        <f>+H221-L221</f>
        <v>89385.5</v>
      </c>
      <c r="N221" s="116">
        <f>+IF(M221*12&lt;=416220.01,0,IF(M221*12&lt;=624329.01,(((M221*12-416220.01)*0.15)/12),IF((M221*12&lt;=867123.01),(31216+0.2*(M221*12-624329.01))/12,((79776+0.25*(M221*12-867123.01))/12))))-O221</f>
        <v>10929.312291666667</v>
      </c>
      <c r="O221" s="118"/>
      <c r="P221" s="155">
        <v>4535.62</v>
      </c>
      <c r="Q221" s="116">
        <f>+P221+N221+L221</f>
        <v>21079.432291666668</v>
      </c>
      <c r="R221" s="117">
        <f>+H221-Q221</f>
        <v>73920.567708333328</v>
      </c>
    </row>
    <row r="222" spans="1:18" ht="39.950000000000003" customHeight="1" x14ac:dyDescent="0.2">
      <c r="A222" s="156">
        <f>+A221+1</f>
        <v>102</v>
      </c>
      <c r="B222" s="164" t="s">
        <v>652</v>
      </c>
      <c r="C222" s="152" t="s">
        <v>338</v>
      </c>
      <c r="D222" s="175" t="s">
        <v>601</v>
      </c>
      <c r="E222" s="153" t="s">
        <v>180</v>
      </c>
      <c r="F222" s="158" t="s">
        <v>599</v>
      </c>
      <c r="G222" s="158" t="s">
        <v>636</v>
      </c>
      <c r="H222" s="162">
        <v>50000</v>
      </c>
      <c r="I222" s="105">
        <f>H222*2.87%</f>
        <v>1435</v>
      </c>
      <c r="J222" s="105">
        <f>+H222*3.04%</f>
        <v>1520</v>
      </c>
      <c r="K222" s="105"/>
      <c r="L222" s="116">
        <f>+J222+I222+K222</f>
        <v>2955</v>
      </c>
      <c r="M222" s="116">
        <f>+H222-L222</f>
        <v>47045</v>
      </c>
      <c r="N222" s="116">
        <f>+IF(M222*12&lt;=416220.01,0,IF(M222*12&lt;=624329.01,(((M222*12-416220.01)*0.15)/12),IF((M222*12&lt;=867123.01),(31216+0.2*(M222*12-624329.01))/12,((79776+0.25*(M222*12-867123.01))/12))))-O222</f>
        <v>1853.9998749999997</v>
      </c>
      <c r="O222" s="116"/>
      <c r="P222" s="155">
        <v>225</v>
      </c>
      <c r="Q222" s="116">
        <f>+P222+N222+L222</f>
        <v>5033.9998749999995</v>
      </c>
      <c r="R222" s="163">
        <f>H222-Q222</f>
        <v>44966.000124999999</v>
      </c>
    </row>
    <row r="223" spans="1:18" s="115" customFormat="1" ht="39.950000000000003" customHeight="1" x14ac:dyDescent="0.2">
      <c r="A223" s="156">
        <v>101</v>
      </c>
      <c r="B223" s="164" t="s">
        <v>529</v>
      </c>
      <c r="C223" s="152" t="s">
        <v>338</v>
      </c>
      <c r="D223" s="164" t="s">
        <v>318</v>
      </c>
      <c r="E223" s="153" t="s">
        <v>180</v>
      </c>
      <c r="F223" s="158" t="s">
        <v>599</v>
      </c>
      <c r="G223" s="158" t="s">
        <v>636</v>
      </c>
      <c r="H223" s="162">
        <v>55000</v>
      </c>
      <c r="I223" s="105">
        <f>H223*2.87%</f>
        <v>1578.5</v>
      </c>
      <c r="J223" s="105">
        <f>+H223*3.04%</f>
        <v>1672</v>
      </c>
      <c r="K223" s="105"/>
      <c r="L223" s="116">
        <f>+J223+I223+K223</f>
        <v>3250.5</v>
      </c>
      <c r="M223" s="116">
        <f>+H223-L223</f>
        <v>51749.5</v>
      </c>
      <c r="N223" s="116">
        <f>+IF(M223*12&lt;=416220.01,0,IF(M223*12&lt;=624329.01,(((M223*12-416220.01)*0.15)/12),IF((M223*12&lt;=867123.01),(31216+0.2*(M223*12-624329.01))/12,((79776+0.25*(M223*12-867123.01))/12))))-O223</f>
        <v>2559.6748749999997</v>
      </c>
      <c r="O223" s="116"/>
      <c r="P223" s="97">
        <v>225</v>
      </c>
      <c r="Q223" s="116">
        <f>+P223+N223+L223</f>
        <v>6035.1748749999997</v>
      </c>
      <c r="R223" s="163">
        <f>H223-Q223</f>
        <v>48964.825125000003</v>
      </c>
    </row>
    <row r="224" spans="1:18" ht="39.950000000000003" customHeight="1" x14ac:dyDescent="0.2">
      <c r="A224" s="370" t="s">
        <v>100</v>
      </c>
      <c r="B224" s="371"/>
      <c r="C224" s="183"/>
      <c r="D224" s="105"/>
      <c r="E224" s="183"/>
      <c r="F224" s="183"/>
      <c r="G224" s="184"/>
      <c r="H224" s="101">
        <f t="shared" ref="H224:R224" si="97">SUM(H221:H223)</f>
        <v>200000</v>
      </c>
      <c r="I224" s="101">
        <f t="shared" si="97"/>
        <v>5740</v>
      </c>
      <c r="J224" s="101">
        <f t="shared" si="97"/>
        <v>6080</v>
      </c>
      <c r="K224" s="101">
        <f t="shared" si="97"/>
        <v>0</v>
      </c>
      <c r="L224" s="101">
        <f t="shared" si="97"/>
        <v>11820</v>
      </c>
      <c r="M224" s="101">
        <f t="shared" si="97"/>
        <v>188180</v>
      </c>
      <c r="N224" s="101">
        <f t="shared" si="97"/>
        <v>15342.987041666667</v>
      </c>
      <c r="O224" s="101">
        <f t="shared" si="97"/>
        <v>0</v>
      </c>
      <c r="P224" s="101">
        <f t="shared" si="97"/>
        <v>4985.62</v>
      </c>
      <c r="Q224" s="101">
        <f t="shared" si="97"/>
        <v>32148.607041666666</v>
      </c>
      <c r="R224" s="101">
        <f t="shared" si="97"/>
        <v>167851.39295833334</v>
      </c>
    </row>
    <row r="225" spans="1:18" s="115" customFormat="1" ht="39.950000000000003" customHeight="1" thickBot="1" x14ac:dyDescent="0.25">
      <c r="A225" s="169"/>
      <c r="B225" s="169"/>
      <c r="C225" s="169"/>
      <c r="D225" s="169"/>
      <c r="E225" s="169"/>
      <c r="F225" s="169"/>
      <c r="G225" s="169"/>
      <c r="H225" s="198"/>
      <c r="I225" s="198"/>
      <c r="J225" s="198"/>
      <c r="K225" s="198"/>
      <c r="L225" s="198"/>
      <c r="M225" s="198"/>
      <c r="N225" s="198"/>
      <c r="O225" s="198"/>
      <c r="P225" s="198"/>
      <c r="Q225" s="198"/>
      <c r="R225" s="198"/>
    </row>
    <row r="226" spans="1:18" s="115" customFormat="1" ht="39.950000000000003" customHeight="1" thickBot="1" x14ac:dyDescent="0.25">
      <c r="A226" s="172" t="s">
        <v>188</v>
      </c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</row>
    <row r="227" spans="1:18" s="115" customFormat="1" ht="39.950000000000003" customHeight="1" x14ac:dyDescent="0.2">
      <c r="A227" s="103">
        <f>+A223+1</f>
        <v>102</v>
      </c>
      <c r="B227" s="109" t="s">
        <v>498</v>
      </c>
      <c r="C227" s="108" t="s">
        <v>338</v>
      </c>
      <c r="D227" s="107" t="s">
        <v>351</v>
      </c>
      <c r="E227" s="153" t="s">
        <v>180</v>
      </c>
      <c r="F227" s="153" t="s">
        <v>599</v>
      </c>
      <c r="G227" s="153" t="s">
        <v>648</v>
      </c>
      <c r="H227" s="97">
        <v>75000</v>
      </c>
      <c r="I227" s="97">
        <f>H227*2.87%</f>
        <v>2152.5</v>
      </c>
      <c r="J227" s="97">
        <f>+H227*3.04%</f>
        <v>2280</v>
      </c>
      <c r="K227" s="97"/>
      <c r="L227" s="116">
        <f>+J227+I227+K227</f>
        <v>4432.5</v>
      </c>
      <c r="M227" s="116">
        <f>+H227-L227</f>
        <v>70567.5</v>
      </c>
      <c r="N227" s="116">
        <f>+IF(M227*12&lt;=416220.01,0,IF(M227*12&lt;=624329.01,(((M227*12-416220.01)*0.15)/12),IF((M227*12&lt;=867123.01),(31216+0.2*(M227*12-624329.01))/12,((79776+0.25*(M227*12-867123.01))/12))))</f>
        <v>6309.3498333333337</v>
      </c>
      <c r="O227" s="116"/>
      <c r="P227" s="160">
        <v>15765.97</v>
      </c>
      <c r="Q227" s="116">
        <f>+P227+N227+L227</f>
        <v>26507.819833333335</v>
      </c>
      <c r="R227" s="163">
        <f>+H227-Q227</f>
        <v>48492.180166666665</v>
      </c>
    </row>
    <row r="228" spans="1:18" ht="39.950000000000003" customHeight="1" x14ac:dyDescent="0.2">
      <c r="A228" s="156">
        <f>+A227+1</f>
        <v>103</v>
      </c>
      <c r="B228" s="164" t="s">
        <v>403</v>
      </c>
      <c r="C228" s="152" t="s">
        <v>338</v>
      </c>
      <c r="D228" s="154" t="s">
        <v>351</v>
      </c>
      <c r="E228" s="153" t="s">
        <v>180</v>
      </c>
      <c r="F228" s="153" t="s">
        <v>588</v>
      </c>
      <c r="G228" s="153" t="s">
        <v>632</v>
      </c>
      <c r="H228" s="162">
        <v>75000</v>
      </c>
      <c r="I228" s="105">
        <f>H228*2.87%</f>
        <v>2152.5</v>
      </c>
      <c r="J228" s="105">
        <f>+H228*3.04%</f>
        <v>2280</v>
      </c>
      <c r="K228" s="105"/>
      <c r="L228" s="116">
        <f>+J228+I228+K228</f>
        <v>4432.5</v>
      </c>
      <c r="M228" s="116">
        <f>+H228-L228</f>
        <v>70567.5</v>
      </c>
      <c r="N228" s="116">
        <f>+IF(M228*12&lt;=416220.01,0,IF(M228*12&lt;=624329.01,(((M228*12-416220.01)*0.15)/12),IF((M228*12&lt;=867123.01),(31216+0.2*(M228*12-624329.01))/12,((79776+0.25*(M228*12-867123.01))/12))))</f>
        <v>6309.3498333333337</v>
      </c>
      <c r="O228" s="116"/>
      <c r="P228" s="155">
        <v>1290.29</v>
      </c>
      <c r="Q228" s="116">
        <f>+P228+N228+L228</f>
        <v>12032.139833333335</v>
      </c>
      <c r="R228" s="163">
        <f>H228-Q228</f>
        <v>62967.860166666665</v>
      </c>
    </row>
    <row r="229" spans="1:18" s="115" customFormat="1" ht="39.950000000000003" customHeight="1" x14ac:dyDescent="0.2">
      <c r="A229" s="370" t="s">
        <v>100</v>
      </c>
      <c r="B229" s="371"/>
      <c r="C229" s="183"/>
      <c r="D229" s="183"/>
      <c r="E229" s="183"/>
      <c r="F229" s="183"/>
      <c r="G229" s="184"/>
      <c r="H229" s="101">
        <f t="shared" ref="H229:R229" si="98">SUM(H227:H228)</f>
        <v>150000</v>
      </c>
      <c r="I229" s="101">
        <f t="shared" si="98"/>
        <v>4305</v>
      </c>
      <c r="J229" s="101">
        <f t="shared" si="98"/>
        <v>4560</v>
      </c>
      <c r="K229" s="101">
        <f t="shared" si="98"/>
        <v>0</v>
      </c>
      <c r="L229" s="101">
        <f t="shared" si="98"/>
        <v>8865</v>
      </c>
      <c r="M229" s="101">
        <f t="shared" si="98"/>
        <v>141135</v>
      </c>
      <c r="N229" s="101">
        <f t="shared" si="98"/>
        <v>12618.699666666667</v>
      </c>
      <c r="O229" s="101">
        <f t="shared" si="98"/>
        <v>0</v>
      </c>
      <c r="P229" s="101">
        <f t="shared" si="98"/>
        <v>17056.259999999998</v>
      </c>
      <c r="Q229" s="101">
        <f t="shared" si="98"/>
        <v>38539.959666666669</v>
      </c>
      <c r="R229" s="101">
        <f t="shared" si="98"/>
        <v>111460.04033333334</v>
      </c>
    </row>
    <row r="230" spans="1:18" s="111" customFormat="1" ht="39.950000000000003" hidden="1" customHeight="1" x14ac:dyDescent="0.2">
      <c r="A230" s="199"/>
      <c r="B230" s="199"/>
      <c r="C230" s="199"/>
      <c r="D230" s="199"/>
      <c r="E230" s="199"/>
      <c r="F230" s="199"/>
      <c r="G230" s="199"/>
      <c r="H230" s="200"/>
      <c r="I230" s="200"/>
      <c r="J230" s="200"/>
      <c r="K230" s="200"/>
      <c r="L230" s="200"/>
      <c r="M230" s="200"/>
      <c r="N230" s="200"/>
      <c r="O230" s="200"/>
      <c r="P230" s="200"/>
      <c r="Q230" s="200"/>
      <c r="R230" s="200"/>
    </row>
    <row r="231" spans="1:18" s="111" customFormat="1" ht="39.950000000000003" hidden="1" customHeight="1" thickBot="1" x14ac:dyDescent="0.25">
      <c r="A231" s="172" t="s">
        <v>12</v>
      </c>
      <c r="B231" s="173"/>
      <c r="C231" s="173"/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</row>
    <row r="232" spans="1:18" s="99" customFormat="1" ht="39.950000000000003" hidden="1" customHeight="1" thickBot="1" x14ac:dyDescent="0.25">
      <c r="A232" s="176"/>
      <c r="B232" s="66"/>
      <c r="C232" s="67" t="s">
        <v>338</v>
      </c>
      <c r="D232" s="66" t="s">
        <v>508</v>
      </c>
      <c r="E232" s="175" t="s">
        <v>180</v>
      </c>
      <c r="F232" s="154" t="s">
        <v>594</v>
      </c>
      <c r="G232" s="175" t="s">
        <v>593</v>
      </c>
      <c r="H232" s="118"/>
      <c r="I232" s="118">
        <f>H232*2.87%</f>
        <v>0</v>
      </c>
      <c r="J232" s="118">
        <f>+H232*3.04%</f>
        <v>0</v>
      </c>
      <c r="K232" s="116">
        <v>0</v>
      </c>
      <c r="L232" s="118">
        <f>+J232+I232+K232</f>
        <v>0</v>
      </c>
      <c r="M232" s="118">
        <f>+H232-L232</f>
        <v>0</v>
      </c>
      <c r="N232" s="116">
        <f>+IF(M232*12&lt;=416220.01,0,IF(M232*12&lt;=624329.01,(((M232*12-416220.01)*0.15)/12),IF((M232*12&lt;=867123.01),(31216+0.2*(M232*12-624329.01))/12,((79776+0.25*(M232*12-867123.01))/12))))</f>
        <v>0</v>
      </c>
      <c r="O232" s="118"/>
      <c r="P232" s="116"/>
      <c r="Q232" s="116">
        <f>+P232+N232+L232</f>
        <v>0</v>
      </c>
      <c r="R232" s="155">
        <f>+H232-Q232</f>
        <v>0</v>
      </c>
    </row>
    <row r="233" spans="1:18" s="99" customFormat="1" ht="39.950000000000003" hidden="1" customHeight="1" thickBot="1" x14ac:dyDescent="0.25">
      <c r="A233" s="370" t="s">
        <v>100</v>
      </c>
      <c r="B233" s="371"/>
      <c r="C233" s="183"/>
      <c r="D233" s="183"/>
      <c r="E233" s="183"/>
      <c r="F233" s="183"/>
      <c r="G233" s="100"/>
      <c r="H233" s="101">
        <f>SUM(H232:H232)</f>
        <v>0</v>
      </c>
      <c r="I233" s="101">
        <f t="shared" ref="I233:R233" si="99">SUM(I232:I232)</f>
        <v>0</v>
      </c>
      <c r="J233" s="101">
        <f t="shared" si="99"/>
        <v>0</v>
      </c>
      <c r="K233" s="101">
        <f t="shared" si="99"/>
        <v>0</v>
      </c>
      <c r="L233" s="101">
        <f t="shared" si="99"/>
        <v>0</v>
      </c>
      <c r="M233" s="101">
        <f t="shared" si="99"/>
        <v>0</v>
      </c>
      <c r="N233" s="101">
        <f t="shared" si="99"/>
        <v>0</v>
      </c>
      <c r="O233" s="101">
        <f t="shared" si="99"/>
        <v>0</v>
      </c>
      <c r="P233" s="101">
        <f t="shared" si="99"/>
        <v>0</v>
      </c>
      <c r="Q233" s="101">
        <f t="shared" si="99"/>
        <v>0</v>
      </c>
      <c r="R233" s="101">
        <f t="shared" si="99"/>
        <v>0</v>
      </c>
    </row>
    <row r="234" spans="1:18" s="111" customFormat="1" ht="39.950000000000003" customHeight="1" thickBot="1" x14ac:dyDescent="0.25">
      <c r="A234" s="169"/>
      <c r="B234" s="169"/>
      <c r="C234" s="169"/>
      <c r="D234" s="169"/>
      <c r="E234" s="169"/>
      <c r="F234" s="169"/>
      <c r="G234" s="169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</row>
    <row r="235" spans="1:18" s="111" customFormat="1" ht="39.950000000000003" customHeight="1" thickBot="1" x14ac:dyDescent="0.25">
      <c r="A235" s="172" t="s">
        <v>319</v>
      </c>
      <c r="B235" s="173"/>
      <c r="C235" s="173"/>
      <c r="D235" s="173"/>
      <c r="E235" s="173"/>
      <c r="F235" s="173"/>
      <c r="G235" s="173"/>
      <c r="H235" s="173"/>
      <c r="I235" s="173"/>
      <c r="J235" s="173"/>
      <c r="K235" s="173"/>
      <c r="L235" s="173"/>
      <c r="M235" s="173"/>
      <c r="N235" s="173"/>
      <c r="O235" s="173"/>
      <c r="P235" s="173"/>
      <c r="Q235" s="173"/>
      <c r="R235" s="173"/>
    </row>
    <row r="236" spans="1:18" s="111" customFormat="1" ht="39.950000000000003" customHeight="1" x14ac:dyDescent="0.2">
      <c r="A236" s="176">
        <f>+A228-1</f>
        <v>102</v>
      </c>
      <c r="B236" s="66" t="s">
        <v>320</v>
      </c>
      <c r="C236" s="67" t="s">
        <v>338</v>
      </c>
      <c r="D236" s="66" t="s">
        <v>509</v>
      </c>
      <c r="E236" s="175" t="s">
        <v>180</v>
      </c>
      <c r="F236" s="153" t="s">
        <v>621</v>
      </c>
      <c r="G236" s="153" t="s">
        <v>654</v>
      </c>
      <c r="H236" s="118">
        <v>155000</v>
      </c>
      <c r="I236" s="118">
        <f>H236*2.87%</f>
        <v>4448.5</v>
      </c>
      <c r="J236" s="118">
        <f>+H236*3.04%</f>
        <v>4712</v>
      </c>
      <c r="K236" s="116">
        <v>0</v>
      </c>
      <c r="L236" s="116">
        <f>+J236+I236+K236</f>
        <v>9160.5</v>
      </c>
      <c r="M236" s="116">
        <f>+H236-L236</f>
        <v>145839.5</v>
      </c>
      <c r="N236" s="116">
        <f>+IF(M236*12&lt;=416220.01,0,IF(M236*12&lt;=624329.01,(((M236*12-416220.01)*0.15)/12),IF((M236*12&lt;=867123.01),(31216+0.2*(M236*12-624329.01))/12,((79776+0.25*(M236*12-867123.01))/12))))</f>
        <v>25042.812291666665</v>
      </c>
      <c r="O236" s="116"/>
      <c r="P236" s="155">
        <v>7783.9</v>
      </c>
      <c r="Q236" s="116">
        <f>+P236+N236+L236</f>
        <v>41987.212291666663</v>
      </c>
      <c r="R236" s="155">
        <f>+H236-Q236</f>
        <v>113012.78770833334</v>
      </c>
    </row>
    <row r="237" spans="1:18" s="111" customFormat="1" ht="39.950000000000003" customHeight="1" x14ac:dyDescent="0.2">
      <c r="A237" s="370" t="s">
        <v>100</v>
      </c>
      <c r="B237" s="371"/>
      <c r="C237" s="183"/>
      <c r="D237" s="183"/>
      <c r="E237" s="183"/>
      <c r="F237" s="183"/>
      <c r="G237" s="100"/>
      <c r="H237" s="101">
        <f>SUM(H236:H236)</f>
        <v>155000</v>
      </c>
      <c r="I237" s="101">
        <f t="shared" ref="I237:R237" si="100">SUM(I236:I236)</f>
        <v>4448.5</v>
      </c>
      <c r="J237" s="101">
        <f t="shared" si="100"/>
        <v>4712</v>
      </c>
      <c r="K237" s="101">
        <f t="shared" si="100"/>
        <v>0</v>
      </c>
      <c r="L237" s="101">
        <f t="shared" si="100"/>
        <v>9160.5</v>
      </c>
      <c r="M237" s="101">
        <f t="shared" si="100"/>
        <v>145839.5</v>
      </c>
      <c r="N237" s="101">
        <f t="shared" si="100"/>
        <v>25042.812291666665</v>
      </c>
      <c r="O237" s="101">
        <f t="shared" si="100"/>
        <v>0</v>
      </c>
      <c r="P237" s="101">
        <f t="shared" si="100"/>
        <v>7783.9</v>
      </c>
      <c r="Q237" s="101">
        <f t="shared" si="100"/>
        <v>41987.212291666663</v>
      </c>
      <c r="R237" s="101">
        <f t="shared" si="100"/>
        <v>113012.78770833334</v>
      </c>
    </row>
    <row r="238" spans="1:18" s="111" customFormat="1" ht="39.950000000000003" customHeight="1" thickBot="1" x14ac:dyDescent="0.25">
      <c r="A238" s="169"/>
      <c r="B238" s="169"/>
      <c r="C238" s="169"/>
      <c r="D238" s="169"/>
      <c r="E238" s="169"/>
      <c r="F238" s="169"/>
      <c r="G238" s="169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</row>
    <row r="239" spans="1:18" s="111" customFormat="1" ht="39.950000000000003" customHeight="1" thickBot="1" x14ac:dyDescent="0.25">
      <c r="A239" s="201" t="s">
        <v>565</v>
      </c>
      <c r="B239" s="200"/>
      <c r="C239" s="200"/>
      <c r="D239" s="200"/>
      <c r="E239" s="200"/>
      <c r="F239" s="200"/>
      <c r="G239" s="200"/>
      <c r="H239" s="200"/>
      <c r="I239" s="200"/>
      <c r="J239" s="200"/>
      <c r="K239" s="200"/>
      <c r="L239" s="200"/>
      <c r="M239" s="200"/>
      <c r="N239" s="200"/>
      <c r="O239" s="200"/>
      <c r="P239" s="200"/>
      <c r="Q239" s="200"/>
      <c r="R239" s="200"/>
    </row>
    <row r="240" spans="1:18" s="111" customFormat="1" ht="39.950000000000003" customHeight="1" x14ac:dyDescent="0.2">
      <c r="A240" s="152">
        <f>+A236+1</f>
        <v>103</v>
      </c>
      <c r="B240" s="157" t="s">
        <v>566</v>
      </c>
      <c r="C240" s="130" t="s">
        <v>338</v>
      </c>
      <c r="D240" s="142" t="s">
        <v>567</v>
      </c>
      <c r="E240" s="153" t="s">
        <v>180</v>
      </c>
      <c r="F240" s="153" t="s">
        <v>621</v>
      </c>
      <c r="G240" s="153" t="s">
        <v>654</v>
      </c>
      <c r="H240" s="105">
        <v>100000</v>
      </c>
      <c r="I240" s="116">
        <f>H240*2.87%</f>
        <v>2870</v>
      </c>
      <c r="J240" s="116">
        <f>+H240*3.04%</f>
        <v>3040</v>
      </c>
      <c r="K240" s="116"/>
      <c r="L240" s="116">
        <f>+J240+I240+K240</f>
        <v>5910</v>
      </c>
      <c r="M240" s="116">
        <f>+H240-L240</f>
        <v>94090</v>
      </c>
      <c r="N240" s="116">
        <f>+IF(M240*12&lt;=416220.01,0,IF(M240*12&lt;=624329.01,(((M240*12-416220.01)*0.15)/12),IF((M240*12&lt;=867123.01),(31216+0.2*(M240*12-624329.01))/12,((79776+0.25*(M240*12-867123.01))/12))))</f>
        <v>12105.437291666667</v>
      </c>
      <c r="O240" s="116">
        <v>0</v>
      </c>
      <c r="P240" s="116">
        <v>4725</v>
      </c>
      <c r="Q240" s="116">
        <f>+P240+N240+L240</f>
        <v>22740.437291666669</v>
      </c>
      <c r="R240" s="160">
        <f>+H240-Q240</f>
        <v>77259.562708333338</v>
      </c>
    </row>
    <row r="241" spans="1:18" s="111" customFormat="1" ht="39.950000000000003" customHeight="1" thickBot="1" x14ac:dyDescent="0.25">
      <c r="A241" s="370" t="s">
        <v>100</v>
      </c>
      <c r="B241" s="371"/>
      <c r="C241" s="100"/>
      <c r="D241" s="100"/>
      <c r="E241" s="100"/>
      <c r="F241" s="100"/>
      <c r="G241" s="100"/>
      <c r="H241" s="101">
        <f>SUM(H240:H240)</f>
        <v>100000</v>
      </c>
      <c r="I241" s="101">
        <f t="shared" ref="I241:R241" si="101">SUM(I240:I240)</f>
        <v>2870</v>
      </c>
      <c r="J241" s="101">
        <f t="shared" si="101"/>
        <v>3040</v>
      </c>
      <c r="K241" s="101">
        <f t="shared" si="101"/>
        <v>0</v>
      </c>
      <c r="L241" s="101">
        <f t="shared" si="101"/>
        <v>5910</v>
      </c>
      <c r="M241" s="101">
        <f t="shared" si="101"/>
        <v>94090</v>
      </c>
      <c r="N241" s="101">
        <f t="shared" si="101"/>
        <v>12105.437291666667</v>
      </c>
      <c r="O241" s="101">
        <f t="shared" si="101"/>
        <v>0</v>
      </c>
      <c r="P241" s="101">
        <f t="shared" si="101"/>
        <v>4725</v>
      </c>
      <c r="Q241" s="101">
        <f t="shared" si="101"/>
        <v>22740.437291666669</v>
      </c>
      <c r="R241" s="101">
        <f t="shared" si="101"/>
        <v>77259.562708333338</v>
      </c>
    </row>
    <row r="242" spans="1:18" s="111" customFormat="1" ht="39.950000000000003" customHeight="1" thickBot="1" x14ac:dyDescent="0.25">
      <c r="A242" s="172" t="s">
        <v>355</v>
      </c>
      <c r="B242" s="173"/>
      <c r="C242" s="173"/>
      <c r="D242" s="173"/>
      <c r="E242" s="173"/>
      <c r="F242" s="173"/>
      <c r="G242" s="319"/>
      <c r="H242" s="173"/>
      <c r="I242" s="173"/>
      <c r="J242" s="173"/>
      <c r="K242" s="173"/>
      <c r="L242" s="173"/>
      <c r="M242" s="173"/>
      <c r="N242" s="173"/>
      <c r="O242" s="173"/>
      <c r="P242" s="173"/>
      <c r="Q242" s="173"/>
      <c r="R242" s="173"/>
    </row>
    <row r="243" spans="1:18" s="111" customFormat="1" ht="39.950000000000003" customHeight="1" x14ac:dyDescent="0.2">
      <c r="A243" s="156">
        <f>+A240+1</f>
        <v>104</v>
      </c>
      <c r="B243" s="157" t="s">
        <v>463</v>
      </c>
      <c r="C243" s="130" t="s">
        <v>338</v>
      </c>
      <c r="D243" s="142" t="s">
        <v>499</v>
      </c>
      <c r="E243" s="153" t="s">
        <v>180</v>
      </c>
      <c r="F243" s="153" t="s">
        <v>599</v>
      </c>
      <c r="G243" s="153" t="s">
        <v>648</v>
      </c>
      <c r="H243" s="97">
        <v>145000</v>
      </c>
      <c r="I243" s="118">
        <f>H243*2.87%</f>
        <v>4161.5</v>
      </c>
      <c r="J243" s="118">
        <f>+H243*3.04%</f>
        <v>4408</v>
      </c>
      <c r="K243" s="118"/>
      <c r="L243" s="116">
        <f>+J243+I243+K243</f>
        <v>8569.5</v>
      </c>
      <c r="M243" s="116">
        <f>+H243-L243</f>
        <v>136430.5</v>
      </c>
      <c r="N243" s="116">
        <f>+IF(M243*12&lt;=416220.01,0,IF(M243*12&lt;=624329.01,(((M243*12-416220.01)*0.15)/12),IF((M243*12&lt;=867123.01),(31216+0.2*(M243*12-624329.01))/12,((79776+0.25*(M243*12-867123.01))/12))))</f>
        <v>22690.562291666665</v>
      </c>
      <c r="O243" s="116"/>
      <c r="P243" s="155">
        <v>25</v>
      </c>
      <c r="Q243" s="116">
        <f>+P243+N243+L243</f>
        <v>31285.062291666665</v>
      </c>
      <c r="R243" s="155">
        <f>+H243-Q243</f>
        <v>113714.93770833334</v>
      </c>
    </row>
    <row r="244" spans="1:18" s="115" customFormat="1" ht="39.950000000000003" customHeight="1" x14ac:dyDescent="0.2">
      <c r="A244" s="156">
        <f>+A243+1</f>
        <v>105</v>
      </c>
      <c r="B244" s="157" t="s">
        <v>631</v>
      </c>
      <c r="C244" s="130" t="s">
        <v>338</v>
      </c>
      <c r="D244" s="142" t="s">
        <v>633</v>
      </c>
      <c r="E244" s="153" t="s">
        <v>180</v>
      </c>
      <c r="F244" s="153" t="s">
        <v>588</v>
      </c>
      <c r="G244" s="153" t="s">
        <v>632</v>
      </c>
      <c r="H244" s="97">
        <v>50000</v>
      </c>
      <c r="I244" s="118">
        <f>H244*2.87%</f>
        <v>1435</v>
      </c>
      <c r="J244" s="118">
        <f>+H244*3.04%</f>
        <v>1520</v>
      </c>
      <c r="K244" s="118"/>
      <c r="L244" s="116">
        <f>+J244+I244+K244</f>
        <v>2955</v>
      </c>
      <c r="M244" s="116">
        <f>+H244-L244</f>
        <v>47045</v>
      </c>
      <c r="N244" s="116">
        <f t="shared" ref="N244" si="102">+IF(M244*12&lt;=416220.01,0,IF(M244*12&lt;=624329.01,(((M244*12-416220.01)*0.15)/12),IF((M244*12&lt;=867123.01),(31216+0.2*(M244*12-624329.01))/12,((79776+0.25*(M244*12-867123.01))/12))))</f>
        <v>1853.9998749999997</v>
      </c>
      <c r="O244" s="116"/>
      <c r="P244" s="155">
        <v>5090.29</v>
      </c>
      <c r="Q244" s="116">
        <f>+P244+N244+L244</f>
        <v>9899.2898749999986</v>
      </c>
      <c r="R244" s="155">
        <f>+H244-Q244</f>
        <v>40100.710124999998</v>
      </c>
    </row>
    <row r="245" spans="1:18" s="99" customFormat="1" ht="39.950000000000003" customHeight="1" thickBot="1" x14ac:dyDescent="0.25">
      <c r="A245" s="370" t="s">
        <v>100</v>
      </c>
      <c r="B245" s="371"/>
      <c r="C245" s="100"/>
      <c r="D245" s="100"/>
      <c r="E245" s="100"/>
      <c r="F245" s="100"/>
      <c r="G245" s="100"/>
      <c r="H245" s="101">
        <f t="shared" ref="H245:R245" si="103">SUM(H243:H244)</f>
        <v>195000</v>
      </c>
      <c r="I245" s="101">
        <f t="shared" si="103"/>
        <v>5596.5</v>
      </c>
      <c r="J245" s="101">
        <f t="shared" si="103"/>
        <v>5928</v>
      </c>
      <c r="K245" s="101">
        <f t="shared" si="103"/>
        <v>0</v>
      </c>
      <c r="L245" s="101">
        <f t="shared" si="103"/>
        <v>11524.5</v>
      </c>
      <c r="M245" s="101">
        <f t="shared" si="103"/>
        <v>183475.5</v>
      </c>
      <c r="N245" s="101">
        <f t="shared" si="103"/>
        <v>24544.562166666667</v>
      </c>
      <c r="O245" s="101">
        <f t="shared" si="103"/>
        <v>0</v>
      </c>
      <c r="P245" s="101">
        <f t="shared" si="103"/>
        <v>5115.29</v>
      </c>
      <c r="Q245" s="101">
        <f t="shared" si="103"/>
        <v>41184.352166666664</v>
      </c>
      <c r="R245" s="101">
        <f t="shared" si="103"/>
        <v>153815.64783333335</v>
      </c>
    </row>
    <row r="246" spans="1:18" ht="39.950000000000003" customHeight="1" thickBot="1" x14ac:dyDescent="0.25">
      <c r="A246" s="201" t="s">
        <v>533</v>
      </c>
      <c r="B246" s="200"/>
      <c r="C246" s="200"/>
      <c r="D246" s="200"/>
      <c r="E246" s="200"/>
      <c r="F246" s="200"/>
      <c r="G246" s="200"/>
      <c r="H246" s="200"/>
      <c r="I246" s="200"/>
      <c r="J246" s="200"/>
      <c r="K246" s="200"/>
      <c r="L246" s="200"/>
      <c r="M246" s="200"/>
      <c r="N246" s="200"/>
      <c r="O246" s="200"/>
      <c r="P246" s="200"/>
      <c r="Q246" s="200"/>
      <c r="R246" s="200"/>
    </row>
    <row r="247" spans="1:18" ht="39.950000000000003" customHeight="1" x14ac:dyDescent="0.2">
      <c r="A247" s="152">
        <f>+A244+1</f>
        <v>106</v>
      </c>
      <c r="B247" s="157" t="s">
        <v>305</v>
      </c>
      <c r="C247" s="130" t="s">
        <v>339</v>
      </c>
      <c r="D247" s="142" t="s">
        <v>613</v>
      </c>
      <c r="E247" s="153" t="s">
        <v>180</v>
      </c>
      <c r="F247" s="158" t="s">
        <v>599</v>
      </c>
      <c r="G247" s="158" t="s">
        <v>636</v>
      </c>
      <c r="H247" s="105">
        <v>145000</v>
      </c>
      <c r="I247" s="116">
        <f>H247*2.87%</f>
        <v>4161.5</v>
      </c>
      <c r="J247" s="116">
        <f>+H247*3.04%</f>
        <v>4408</v>
      </c>
      <c r="K247" s="116"/>
      <c r="L247" s="116">
        <f>+J247+I247+K247</f>
        <v>8569.5</v>
      </c>
      <c r="M247" s="116">
        <f>+H247-L247</f>
        <v>136430.5</v>
      </c>
      <c r="N247" s="116">
        <f>+IF(M247*12&lt;=416220.01,0,IF(M247*12&lt;=624329.01,(((M247*12-416220.01)*0.15)/12),IF((M247*12&lt;=867123.01),(31216+0.2*(M247*12-624329.01))/12,((79776+0.25*(M247*12-867123.01))/12))))</f>
        <v>22690.562291666665</v>
      </c>
      <c r="O247" s="116"/>
      <c r="P247" s="160">
        <v>14402.26</v>
      </c>
      <c r="Q247" s="116">
        <f>+P247+N247+L247</f>
        <v>45662.322291666664</v>
      </c>
      <c r="R247" s="160">
        <f>+H247-Q247</f>
        <v>99337.677708333329</v>
      </c>
    </row>
    <row r="248" spans="1:18" s="115" customFormat="1" ht="39.950000000000003" customHeight="1" x14ac:dyDescent="0.2">
      <c r="A248" s="156">
        <f>+A247+1</f>
        <v>107</v>
      </c>
      <c r="B248" s="157" t="s">
        <v>481</v>
      </c>
      <c r="C248" s="130" t="s">
        <v>339</v>
      </c>
      <c r="D248" s="142" t="s">
        <v>534</v>
      </c>
      <c r="E248" s="153" t="s">
        <v>180</v>
      </c>
      <c r="F248" s="153" t="s">
        <v>599</v>
      </c>
      <c r="G248" s="153" t="s">
        <v>648</v>
      </c>
      <c r="H248" s="97">
        <v>80000</v>
      </c>
      <c r="I248" s="118">
        <f>H248*2.87%</f>
        <v>2296</v>
      </c>
      <c r="J248" s="118">
        <f>+H248*3.04%</f>
        <v>2432</v>
      </c>
      <c r="K248" s="118">
        <v>1919.78</v>
      </c>
      <c r="L248" s="116">
        <f>+J248+I248+K248</f>
        <v>6647.78</v>
      </c>
      <c r="M248" s="116">
        <f>+H248-L248</f>
        <v>73352.22</v>
      </c>
      <c r="N248" s="116">
        <f>+IF(M248*12&lt;=416220.01,0,IF(M248*12&lt;=624329.01,(((M248*12-416220.01)*0.15)/12),IF((M248*12&lt;=867123.01),(31216+0.2*(M248*12-624329.01))/12,((79776+0.25*(M248*12-867123.01))/12))))</f>
        <v>6920.9922916666665</v>
      </c>
      <c r="O248" s="116"/>
      <c r="P248" s="155">
        <v>225</v>
      </c>
      <c r="Q248" s="116">
        <f>+P248+N248+L248</f>
        <v>13793.772291666666</v>
      </c>
      <c r="R248" s="155">
        <f>+H248-Q248</f>
        <v>66206.227708333332</v>
      </c>
    </row>
    <row r="249" spans="1:18" ht="39.950000000000003" customHeight="1" x14ac:dyDescent="0.2">
      <c r="A249" s="370" t="s">
        <v>100</v>
      </c>
      <c r="B249" s="371"/>
      <c r="C249" s="100"/>
      <c r="D249" s="100"/>
      <c r="E249" s="100"/>
      <c r="F249" s="100"/>
      <c r="G249" s="100"/>
      <c r="H249" s="101">
        <f>SUM(H247:H248)</f>
        <v>225000</v>
      </c>
      <c r="I249" s="101">
        <f t="shared" ref="I249:R249" si="104">SUM(I247:I248)</f>
        <v>6457.5</v>
      </c>
      <c r="J249" s="101">
        <f t="shared" si="104"/>
        <v>6840</v>
      </c>
      <c r="K249" s="101">
        <f t="shared" si="104"/>
        <v>1919.78</v>
      </c>
      <c r="L249" s="101">
        <f t="shared" si="104"/>
        <v>15217.279999999999</v>
      </c>
      <c r="M249" s="101">
        <f t="shared" si="104"/>
        <v>209782.72</v>
      </c>
      <c r="N249" s="101">
        <f t="shared" si="104"/>
        <v>29611.554583333331</v>
      </c>
      <c r="O249" s="101">
        <f t="shared" si="104"/>
        <v>0</v>
      </c>
      <c r="P249" s="101">
        <f t="shared" si="104"/>
        <v>14627.26</v>
      </c>
      <c r="Q249" s="101">
        <f t="shared" si="104"/>
        <v>59456.094583333332</v>
      </c>
      <c r="R249" s="101">
        <f t="shared" si="104"/>
        <v>165543.90541666665</v>
      </c>
    </row>
    <row r="250" spans="1:18" ht="39.950000000000003" customHeight="1" thickBot="1" x14ac:dyDescent="0.25">
      <c r="A250" s="169"/>
      <c r="B250" s="169"/>
      <c r="C250" s="169"/>
      <c r="D250" s="169"/>
      <c r="E250" s="169"/>
      <c r="F250" s="169"/>
      <c r="G250" s="169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</row>
    <row r="251" spans="1:18" ht="39.950000000000003" customHeight="1" thickBot="1" x14ac:dyDescent="0.25">
      <c r="A251" s="292" t="s">
        <v>191</v>
      </c>
      <c r="B251" s="187"/>
      <c r="C251" s="187"/>
      <c r="D251" s="187"/>
      <c r="E251" s="187"/>
      <c r="F251" s="187"/>
      <c r="G251" s="187"/>
      <c r="H251" s="187"/>
      <c r="I251" s="187"/>
      <c r="J251" s="187"/>
      <c r="K251" s="173"/>
      <c r="L251" s="173"/>
      <c r="M251" s="173"/>
      <c r="N251" s="173"/>
      <c r="O251" s="173"/>
      <c r="P251" s="173"/>
      <c r="Q251" s="173"/>
      <c r="R251" s="173"/>
    </row>
    <row r="252" spans="1:18" s="115" customFormat="1" ht="39.950000000000003" customHeight="1" x14ac:dyDescent="0.2">
      <c r="A252" s="156">
        <f>+A248+1</f>
        <v>108</v>
      </c>
      <c r="B252" s="178" t="s">
        <v>543</v>
      </c>
      <c r="C252" s="132" t="s">
        <v>339</v>
      </c>
      <c r="D252" s="139" t="s">
        <v>544</v>
      </c>
      <c r="E252" s="175" t="s">
        <v>180</v>
      </c>
      <c r="F252" s="153" t="s">
        <v>576</v>
      </c>
      <c r="G252" s="153" t="s">
        <v>620</v>
      </c>
      <c r="H252" s="97">
        <v>50000</v>
      </c>
      <c r="I252" s="118">
        <f>H252*2.87%</f>
        <v>1435</v>
      </c>
      <c r="J252" s="118">
        <f>+H252*3.04%</f>
        <v>1520</v>
      </c>
      <c r="K252" s="116">
        <v>0</v>
      </c>
      <c r="L252" s="116">
        <f>+J252+I252+K252</f>
        <v>2955</v>
      </c>
      <c r="M252" s="116">
        <f>+H252-L252</f>
        <v>47045</v>
      </c>
      <c r="N252" s="116">
        <f>+IF(M252*12&lt;=416220.01,0,IF(M252*12&lt;=624329.01,(((M252*12-416220.01)*0.15)/12),IF((M252*12&lt;=867123.01),(31216+0.2*(M252*12-624329.01))/12,((79776+0.25*(M252*12-867123.01))/12))))</f>
        <v>1853.9998749999997</v>
      </c>
      <c r="O252" s="116"/>
      <c r="P252" s="155">
        <v>225</v>
      </c>
      <c r="Q252" s="116">
        <f>+P252+N252+L252</f>
        <v>5033.9998749999995</v>
      </c>
      <c r="R252" s="155">
        <f>+H252-Q252</f>
        <v>44966.000124999999</v>
      </c>
    </row>
    <row r="253" spans="1:18" s="115" customFormat="1" ht="39.950000000000003" customHeight="1" x14ac:dyDescent="0.2">
      <c r="A253" s="152">
        <f>+A252+1</f>
        <v>109</v>
      </c>
      <c r="B253" s="157" t="s">
        <v>324</v>
      </c>
      <c r="C253" s="130" t="s">
        <v>339</v>
      </c>
      <c r="D253" s="157" t="s">
        <v>539</v>
      </c>
      <c r="E253" s="153" t="s">
        <v>180</v>
      </c>
      <c r="F253" s="153" t="s">
        <v>588</v>
      </c>
      <c r="G253" s="153" t="s">
        <v>632</v>
      </c>
      <c r="H253" s="116">
        <v>60000</v>
      </c>
      <c r="I253" s="116">
        <f t="shared" ref="I253" si="105">H253*2.87%</f>
        <v>1722</v>
      </c>
      <c r="J253" s="118">
        <f t="shared" ref="J253" si="106">+H253*3.04%</f>
        <v>1824</v>
      </c>
      <c r="K253" s="118">
        <v>1919.78</v>
      </c>
      <c r="L253" s="116">
        <f>+J253+I253+K253</f>
        <v>5465.78</v>
      </c>
      <c r="M253" s="116">
        <f>+H253-L253</f>
        <v>54534.22</v>
      </c>
      <c r="N253" s="116">
        <f>+IF(M253*12&lt;=416220.01,0,IF(M253*12&lt;=624329.01,(((M253*12-416220.01)*0.15)/12),IF((M253*12&lt;=867123.01),(31216+0.2*(M253*12-624329.01))/12,((79776+0.25*(M253*12-867123.01))/12))))</f>
        <v>3102.6938333333333</v>
      </c>
      <c r="O253" s="116">
        <v>0</v>
      </c>
      <c r="P253" s="155">
        <v>225</v>
      </c>
      <c r="Q253" s="116">
        <f>+P253+N253+L253</f>
        <v>8793.4738333333335</v>
      </c>
      <c r="R253" s="155">
        <f>+H253-Q253</f>
        <v>51206.526166666663</v>
      </c>
    </row>
    <row r="254" spans="1:18" ht="39.950000000000003" customHeight="1" x14ac:dyDescent="0.2">
      <c r="A254" s="370" t="s">
        <v>100</v>
      </c>
      <c r="B254" s="371"/>
      <c r="C254" s="100"/>
      <c r="D254" s="100"/>
      <c r="E254" s="100"/>
      <c r="F254" s="100"/>
      <c r="G254" s="100"/>
      <c r="H254" s="101">
        <f>+SUM(H252:H253)</f>
        <v>110000</v>
      </c>
      <c r="I254" s="101">
        <f t="shared" ref="I254:R254" si="107">+SUM(I252:I253)</f>
        <v>3157</v>
      </c>
      <c r="J254" s="101">
        <f t="shared" si="107"/>
        <v>3344</v>
      </c>
      <c r="K254" s="101">
        <f t="shared" si="107"/>
        <v>1919.78</v>
      </c>
      <c r="L254" s="101">
        <f t="shared" si="107"/>
        <v>8420.7799999999988</v>
      </c>
      <c r="M254" s="101">
        <f t="shared" si="107"/>
        <v>101579.22</v>
      </c>
      <c r="N254" s="101">
        <f t="shared" si="107"/>
        <v>4956.6937083333332</v>
      </c>
      <c r="O254" s="101">
        <f t="shared" si="107"/>
        <v>0</v>
      </c>
      <c r="P254" s="101">
        <f t="shared" si="107"/>
        <v>450</v>
      </c>
      <c r="Q254" s="101">
        <f t="shared" si="107"/>
        <v>13827.473708333333</v>
      </c>
      <c r="R254" s="101">
        <f t="shared" si="107"/>
        <v>96172.526291666669</v>
      </c>
    </row>
    <row r="255" spans="1:18" ht="39.950000000000003" customHeight="1" thickBot="1" x14ac:dyDescent="0.25">
      <c r="A255" s="169"/>
      <c r="B255" s="169"/>
      <c r="C255" s="185"/>
      <c r="D255" s="185"/>
      <c r="E255" s="185"/>
      <c r="F255" s="185"/>
      <c r="G255" s="185"/>
      <c r="H255" s="170"/>
      <c r="I255" s="170"/>
      <c r="J255" s="170"/>
      <c r="K255" s="170"/>
      <c r="L255" s="170"/>
      <c r="M255" s="170"/>
      <c r="N255" s="170"/>
      <c r="O255" s="170"/>
      <c r="P255" s="170"/>
      <c r="Q255" s="170"/>
      <c r="R255" s="170"/>
    </row>
    <row r="256" spans="1:18" ht="39.950000000000003" customHeight="1" thickBot="1" x14ac:dyDescent="0.25">
      <c r="A256" s="172" t="s">
        <v>545</v>
      </c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  <c r="P256" s="173"/>
      <c r="Q256" s="173"/>
      <c r="R256" s="173"/>
    </row>
    <row r="257" spans="1:18" ht="39.950000000000003" customHeight="1" x14ac:dyDescent="0.2">
      <c r="A257" s="156">
        <f>+A253+1</f>
        <v>110</v>
      </c>
      <c r="B257" s="102" t="s">
        <v>546</v>
      </c>
      <c r="C257" s="131" t="s">
        <v>338</v>
      </c>
      <c r="D257" s="102" t="s">
        <v>547</v>
      </c>
      <c r="E257" s="175" t="s">
        <v>180</v>
      </c>
      <c r="F257" s="153" t="s">
        <v>576</v>
      </c>
      <c r="G257" s="153" t="s">
        <v>620</v>
      </c>
      <c r="H257" s="118">
        <v>145000</v>
      </c>
      <c r="I257" s="118">
        <f>H257*2.87%</f>
        <v>4161.5</v>
      </c>
      <c r="J257" s="118">
        <f>+H257*3.04%</f>
        <v>4408</v>
      </c>
      <c r="K257" s="118">
        <v>0</v>
      </c>
      <c r="L257" s="118">
        <f>+J257+I257+K257</f>
        <v>8569.5</v>
      </c>
      <c r="M257" s="116">
        <f>+H257-L257</f>
        <v>136430.5</v>
      </c>
      <c r="N257" s="116">
        <f>+IF(M257*12&lt;=416220.01,0,IF(M257*12&lt;=624329.01,(((M257*12-416220.01)*0.15)/12),IF((M257*12&lt;=867123.01),(31216+0.2*(M257*12-624329.01))/12,((79776+0.25*(M257*12-867123.01))/12))))</f>
        <v>22690.562291666665</v>
      </c>
      <c r="O257" s="116"/>
      <c r="P257" s="155">
        <v>25</v>
      </c>
      <c r="Q257" s="116">
        <f>+P257+N257+L257</f>
        <v>31285.062291666665</v>
      </c>
      <c r="R257" s="155">
        <f>+H257-Q257</f>
        <v>113714.93770833334</v>
      </c>
    </row>
    <row r="258" spans="1:18" s="115" customFormat="1" ht="39.950000000000003" customHeight="1" x14ac:dyDescent="0.2">
      <c r="A258" s="370" t="s">
        <v>100</v>
      </c>
      <c r="B258" s="371"/>
      <c r="C258" s="100"/>
      <c r="D258" s="100"/>
      <c r="E258" s="100"/>
      <c r="F258" s="100"/>
      <c r="G258" s="100"/>
      <c r="H258" s="101">
        <f t="shared" ref="H258:J258" si="108">SUM(H257:H257)</f>
        <v>145000</v>
      </c>
      <c r="I258" s="101">
        <f t="shared" si="108"/>
        <v>4161.5</v>
      </c>
      <c r="J258" s="101">
        <f t="shared" si="108"/>
        <v>4408</v>
      </c>
      <c r="K258" s="101">
        <f>SUM(K257:K257)</f>
        <v>0</v>
      </c>
      <c r="L258" s="101">
        <f t="shared" ref="L258:R258" si="109">SUM(L257:L257)</f>
        <v>8569.5</v>
      </c>
      <c r="M258" s="101">
        <f t="shared" si="109"/>
        <v>136430.5</v>
      </c>
      <c r="N258" s="101">
        <f t="shared" si="109"/>
        <v>22690.562291666665</v>
      </c>
      <c r="O258" s="101">
        <f t="shared" si="109"/>
        <v>0</v>
      </c>
      <c r="P258" s="101">
        <f t="shared" si="109"/>
        <v>25</v>
      </c>
      <c r="Q258" s="101">
        <f t="shared" si="109"/>
        <v>31285.062291666665</v>
      </c>
      <c r="R258" s="101">
        <f t="shared" si="109"/>
        <v>113714.93770833334</v>
      </c>
    </row>
    <row r="259" spans="1:18" ht="39.950000000000003" customHeight="1" thickBot="1" x14ac:dyDescent="0.25">
      <c r="A259" s="169"/>
      <c r="B259" s="169"/>
      <c r="C259" s="169"/>
      <c r="D259" s="169"/>
      <c r="E259" s="169"/>
      <c r="F259" s="169"/>
      <c r="G259" s="169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</row>
    <row r="260" spans="1:18" ht="39.950000000000003" customHeight="1" thickBot="1" x14ac:dyDescent="0.25">
      <c r="A260" s="172" t="s">
        <v>356</v>
      </c>
      <c r="B260" s="173"/>
      <c r="C260" s="173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3"/>
      <c r="O260" s="173"/>
      <c r="P260" s="173"/>
      <c r="Q260" s="173"/>
      <c r="R260" s="173"/>
    </row>
    <row r="261" spans="1:18" ht="39.950000000000003" customHeight="1" x14ac:dyDescent="0.2">
      <c r="A261" s="156">
        <f>+A257+1</f>
        <v>111</v>
      </c>
      <c r="B261" s="102" t="s">
        <v>118</v>
      </c>
      <c r="C261" s="131" t="s">
        <v>339</v>
      </c>
      <c r="D261" s="102" t="s">
        <v>326</v>
      </c>
      <c r="E261" s="175" t="s">
        <v>180</v>
      </c>
      <c r="F261" s="153" t="s">
        <v>599</v>
      </c>
      <c r="G261" s="153" t="s">
        <v>648</v>
      </c>
      <c r="H261" s="118">
        <v>70000</v>
      </c>
      <c r="I261" s="118">
        <f>H261*2.87%</f>
        <v>2009</v>
      </c>
      <c r="J261" s="118">
        <f>+H261*3.04%</f>
        <v>2128</v>
      </c>
      <c r="K261" s="118">
        <v>0</v>
      </c>
      <c r="L261" s="118">
        <f>+J261+I261+K261</f>
        <v>4137</v>
      </c>
      <c r="M261" s="116">
        <f>+H261-L261</f>
        <v>65863</v>
      </c>
      <c r="N261" s="116">
        <f>+IF(M261*12&lt;=416220.01,0,IF(M261*12&lt;=624329.01,(((M261*12-416220.01)*0.15)/12),IF((M261*12&lt;=867123.01),(31216+0.2*(M261*12-624329.01))/12,((79776+0.25*(M261*12-867123.01))/12))))</f>
        <v>5368.4498333333331</v>
      </c>
      <c r="O261" s="116"/>
      <c r="P261" s="155">
        <v>225</v>
      </c>
      <c r="Q261" s="116">
        <f>+P261+N261+L261</f>
        <v>9730.4498333333322</v>
      </c>
      <c r="R261" s="155">
        <f>+H261-Q261</f>
        <v>60269.550166666668</v>
      </c>
    </row>
    <row r="262" spans="1:18" ht="39.950000000000003" customHeight="1" x14ac:dyDescent="0.2">
      <c r="A262" s="370" t="s">
        <v>100</v>
      </c>
      <c r="B262" s="371"/>
      <c r="C262" s="100"/>
      <c r="D262" s="100"/>
      <c r="E262" s="100"/>
      <c r="F262" s="100"/>
      <c r="G262" s="100"/>
      <c r="H262" s="101">
        <f t="shared" ref="H262:R262" si="110">SUM(H261:H261)</f>
        <v>70000</v>
      </c>
      <c r="I262" s="101">
        <f t="shared" si="110"/>
        <v>2009</v>
      </c>
      <c r="J262" s="101">
        <f t="shared" si="110"/>
        <v>2128</v>
      </c>
      <c r="K262" s="101">
        <f>SUM(K261:K261)</f>
        <v>0</v>
      </c>
      <c r="L262" s="101">
        <f t="shared" si="110"/>
        <v>4137</v>
      </c>
      <c r="M262" s="101">
        <f t="shared" si="110"/>
        <v>65863</v>
      </c>
      <c r="N262" s="101">
        <f t="shared" si="110"/>
        <v>5368.4498333333331</v>
      </c>
      <c r="O262" s="101">
        <f t="shared" si="110"/>
        <v>0</v>
      </c>
      <c r="P262" s="101">
        <f t="shared" si="110"/>
        <v>225</v>
      </c>
      <c r="Q262" s="101">
        <f t="shared" si="110"/>
        <v>9730.4498333333322</v>
      </c>
      <c r="R262" s="101">
        <f t="shared" si="110"/>
        <v>60269.550166666668</v>
      </c>
    </row>
    <row r="263" spans="1:18" ht="39.950000000000003" customHeight="1" thickBot="1" x14ac:dyDescent="0.25">
      <c r="A263" s="169"/>
      <c r="B263" s="169"/>
      <c r="C263" s="169"/>
      <c r="D263" s="169"/>
      <c r="E263" s="169"/>
      <c r="F263" s="169"/>
      <c r="G263" s="169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</row>
    <row r="264" spans="1:18" ht="39.950000000000003" customHeight="1" thickBot="1" x14ac:dyDescent="0.25">
      <c r="A264" s="172" t="s">
        <v>464</v>
      </c>
      <c r="B264" s="173"/>
      <c r="C264" s="173"/>
      <c r="D264" s="173"/>
      <c r="E264" s="173"/>
      <c r="F264" s="173"/>
      <c r="G264" s="173"/>
      <c r="H264" s="173"/>
      <c r="I264" s="173"/>
      <c r="J264" s="173"/>
      <c r="K264" s="173"/>
      <c r="L264" s="173"/>
      <c r="M264" s="173"/>
      <c r="N264" s="173"/>
      <c r="O264" s="173"/>
      <c r="P264" s="173"/>
      <c r="Q264" s="173"/>
      <c r="R264" s="173"/>
    </row>
    <row r="265" spans="1:18" ht="39.950000000000003" customHeight="1" x14ac:dyDescent="0.2">
      <c r="A265" s="156">
        <f>+A261+1</f>
        <v>112</v>
      </c>
      <c r="B265" s="102" t="s">
        <v>401</v>
      </c>
      <c r="C265" s="131" t="s">
        <v>339</v>
      </c>
      <c r="D265" s="102" t="s">
        <v>486</v>
      </c>
      <c r="E265" s="175" t="s">
        <v>180</v>
      </c>
      <c r="F265" s="153" t="s">
        <v>588</v>
      </c>
      <c r="G265" s="153" t="s">
        <v>632</v>
      </c>
      <c r="H265" s="118">
        <v>90000</v>
      </c>
      <c r="I265" s="118">
        <f>H265*2.87%</f>
        <v>2583</v>
      </c>
      <c r="J265" s="118">
        <f>+H265*3.04%</f>
        <v>2736</v>
      </c>
      <c r="K265" s="118"/>
      <c r="L265" s="116">
        <f>+J265+I265+K265</f>
        <v>5319</v>
      </c>
      <c r="M265" s="116">
        <f>+H265-L265</f>
        <v>84681</v>
      </c>
      <c r="N265" s="116">
        <f>+IF(M265*12&lt;=416220.01,0,IF(M265*12&lt;=624329.01,(((M265*12-416220.01)*0.15)/12),IF((M265*12&lt;=867123.01),(31216+0.2*(M265*12-624329.01))/12,((79776+0.25*(M265*12-867123.01))/12))))</f>
        <v>9753.1872916666671</v>
      </c>
      <c r="O265" s="116"/>
      <c r="P265" s="160">
        <v>15290.29</v>
      </c>
      <c r="Q265" s="116">
        <f>+P265+N265+L265</f>
        <v>30362.47729166667</v>
      </c>
      <c r="R265" s="155">
        <f>+H265-Q265</f>
        <v>59637.52270833333</v>
      </c>
    </row>
    <row r="266" spans="1:18" ht="39.950000000000003" customHeight="1" x14ac:dyDescent="0.2">
      <c r="A266" s="156">
        <f>+A265+1</f>
        <v>113</v>
      </c>
      <c r="B266" s="102" t="s">
        <v>490</v>
      </c>
      <c r="C266" s="131" t="s">
        <v>339</v>
      </c>
      <c r="D266" s="102" t="s">
        <v>491</v>
      </c>
      <c r="E266" s="175" t="s">
        <v>180</v>
      </c>
      <c r="F266" s="153" t="s">
        <v>621</v>
      </c>
      <c r="G266" s="153" t="s">
        <v>654</v>
      </c>
      <c r="H266" s="118">
        <v>38000</v>
      </c>
      <c r="I266" s="116">
        <f>H266*2.87%</f>
        <v>1090.5999999999999</v>
      </c>
      <c r="J266" s="116">
        <f>+H266*3.04%</f>
        <v>1155.2</v>
      </c>
      <c r="K266" s="116"/>
      <c r="L266" s="116">
        <f>+J266+I266+K266</f>
        <v>2245.8000000000002</v>
      </c>
      <c r="M266" s="116">
        <f>+H266-L266</f>
        <v>35754.199999999997</v>
      </c>
      <c r="N266" s="116">
        <f>+IF(M266*12&lt;=416220.01,0,IF(M266*12&lt;=624329.01,(((M266*12-416220.01)*0.15)/12),IF((M266*12&lt;=867123.01),(31216+0.2*(M266*12-624329.01))/12,((79776+0.25*(M266*12-867123.01))/12))))</f>
        <v>160.37987499999943</v>
      </c>
      <c r="O266" s="116">
        <v>0</v>
      </c>
      <c r="P266" s="118">
        <v>225</v>
      </c>
      <c r="Q266" s="116">
        <f>+P266+N266+L266</f>
        <v>2631.1798749999998</v>
      </c>
      <c r="R266" s="160">
        <f>+H266-Q266</f>
        <v>35368.820124999998</v>
      </c>
    </row>
    <row r="267" spans="1:18" ht="39.950000000000003" customHeight="1" x14ac:dyDescent="0.2">
      <c r="A267" s="370" t="s">
        <v>100</v>
      </c>
      <c r="B267" s="371"/>
      <c r="C267" s="100"/>
      <c r="D267" s="100"/>
      <c r="E267" s="100"/>
      <c r="F267" s="100"/>
      <c r="G267" s="100"/>
      <c r="H267" s="101">
        <f>SUM(H265:H266)</f>
        <v>128000</v>
      </c>
      <c r="I267" s="101">
        <f t="shared" ref="I267:R267" si="111">SUM(I265:I266)</f>
        <v>3673.6</v>
      </c>
      <c r="J267" s="101">
        <f t="shared" si="111"/>
        <v>3891.2</v>
      </c>
      <c r="K267" s="101">
        <f t="shared" si="111"/>
        <v>0</v>
      </c>
      <c r="L267" s="101">
        <f t="shared" si="111"/>
        <v>7564.8</v>
      </c>
      <c r="M267" s="101">
        <f t="shared" si="111"/>
        <v>120435.2</v>
      </c>
      <c r="N267" s="101">
        <f t="shared" si="111"/>
        <v>9913.5671666666658</v>
      </c>
      <c r="O267" s="101">
        <f t="shared" si="111"/>
        <v>0</v>
      </c>
      <c r="P267" s="101">
        <f t="shared" si="111"/>
        <v>15515.29</v>
      </c>
      <c r="Q267" s="101">
        <f t="shared" si="111"/>
        <v>32993.657166666671</v>
      </c>
      <c r="R267" s="101">
        <f t="shared" si="111"/>
        <v>95006.342833333329</v>
      </c>
    </row>
    <row r="268" spans="1:18" ht="39.950000000000003" customHeight="1" thickBot="1" x14ac:dyDescent="0.25">
      <c r="A268" s="169"/>
      <c r="B268" s="169"/>
      <c r="C268" s="169"/>
      <c r="D268" s="169"/>
      <c r="E268" s="169"/>
      <c r="F268" s="169"/>
      <c r="G268" s="169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</row>
    <row r="269" spans="1:18" ht="39.950000000000003" customHeight="1" thickBot="1" x14ac:dyDescent="0.25">
      <c r="A269" s="172" t="s">
        <v>172</v>
      </c>
      <c r="B269" s="173"/>
      <c r="C269" s="173"/>
      <c r="D269" s="173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3"/>
      <c r="Q269" s="173"/>
      <c r="R269" s="173"/>
    </row>
    <row r="270" spans="1:18" ht="39.950000000000003" customHeight="1" x14ac:dyDescent="0.2">
      <c r="A270" s="156">
        <f>+A266+1</f>
        <v>114</v>
      </c>
      <c r="B270" s="141" t="s">
        <v>308</v>
      </c>
      <c r="C270" s="103" t="s">
        <v>338</v>
      </c>
      <c r="D270" s="139" t="s">
        <v>503</v>
      </c>
      <c r="E270" s="175" t="s">
        <v>180</v>
      </c>
      <c r="F270" s="153" t="s">
        <v>576</v>
      </c>
      <c r="G270" s="153" t="s">
        <v>620</v>
      </c>
      <c r="H270" s="155">
        <v>100000</v>
      </c>
      <c r="I270" s="118">
        <f>H270*2.87%</f>
        <v>2870</v>
      </c>
      <c r="J270" s="118">
        <f>+H270*3.04%</f>
        <v>3040</v>
      </c>
      <c r="K270" s="118"/>
      <c r="L270" s="118">
        <f>+J270+I270+K270</f>
        <v>5910</v>
      </c>
      <c r="M270" s="118">
        <f>+H270-L270</f>
        <v>94090</v>
      </c>
      <c r="N270" s="116">
        <f>+IF(M270*12&lt;=416220.01,0,IF(M270*12&lt;=624329.01,(((M270*12-416220.01)*0.15)/12),IF((M270*12&lt;=867123.01),(31216+0.2*(M270*12-624329.01))/12,((79776+0.25*(M270*12-867123.01))/12))))</f>
        <v>12105.437291666667</v>
      </c>
      <c r="O270" s="118"/>
      <c r="P270" s="155">
        <v>2963</v>
      </c>
      <c r="Q270" s="118">
        <f>+P270+N270+L270</f>
        <v>20978.437291666669</v>
      </c>
      <c r="R270" s="155">
        <f>+H270-Q270</f>
        <v>79021.562708333338</v>
      </c>
    </row>
    <row r="271" spans="1:18" ht="39.950000000000003" customHeight="1" x14ac:dyDescent="0.2">
      <c r="A271" s="370" t="s">
        <v>100</v>
      </c>
      <c r="B271" s="371"/>
      <c r="C271" s="100"/>
      <c r="D271" s="100"/>
      <c r="E271" s="100"/>
      <c r="F271" s="100"/>
      <c r="G271" s="100"/>
      <c r="H271" s="101">
        <f>+H270</f>
        <v>100000</v>
      </c>
      <c r="I271" s="101">
        <f t="shared" ref="I271:Q271" si="112">+I270</f>
        <v>2870</v>
      </c>
      <c r="J271" s="101">
        <f t="shared" si="112"/>
        <v>3040</v>
      </c>
      <c r="K271" s="101">
        <f t="shared" si="112"/>
        <v>0</v>
      </c>
      <c r="L271" s="101">
        <f t="shared" si="112"/>
        <v>5910</v>
      </c>
      <c r="M271" s="101">
        <f t="shared" si="112"/>
        <v>94090</v>
      </c>
      <c r="N271" s="101">
        <f t="shared" si="112"/>
        <v>12105.437291666667</v>
      </c>
      <c r="O271" s="101">
        <f t="shared" si="112"/>
        <v>0</v>
      </c>
      <c r="P271" s="101">
        <f t="shared" si="112"/>
        <v>2963</v>
      </c>
      <c r="Q271" s="101">
        <f t="shared" si="112"/>
        <v>20978.437291666669</v>
      </c>
      <c r="R271" s="101">
        <f>+R270</f>
        <v>79021.562708333338</v>
      </c>
    </row>
    <row r="272" spans="1:18" ht="39.950000000000003" customHeight="1" thickBot="1" x14ac:dyDescent="0.25">
      <c r="D272" s="195"/>
      <c r="E272" s="195"/>
      <c r="F272" s="195"/>
      <c r="G272" s="195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</row>
    <row r="273" spans="1:18" ht="39.950000000000003" customHeight="1" thickBot="1" x14ac:dyDescent="0.25">
      <c r="A273" s="172" t="s">
        <v>327</v>
      </c>
      <c r="B273" s="173"/>
      <c r="C273" s="173"/>
      <c r="D273" s="173"/>
      <c r="E273" s="202"/>
      <c r="F273" s="203"/>
      <c r="G273" s="203"/>
      <c r="H273" s="204">
        <f t="shared" ref="H273:R273" si="113">+H11+H20+H26+H35+H45+H53+H58+H62+H66+H74+H81+H87+H92+H96+H100+H107+H111+H114+H119+H122+H129+H145+H149+H155+H159+H164+H169+H173+H182+H186+H192+H197+H202+H212+H218+H224+H229+H233+H237+H241+H245+H249+H254+H258+H262+H267+H271+H140+H49+H70+H135</f>
        <v>11073000</v>
      </c>
      <c r="I273" s="204">
        <f t="shared" si="113"/>
        <v>317795.09999999998</v>
      </c>
      <c r="J273" s="204">
        <f t="shared" si="113"/>
        <v>336619.2</v>
      </c>
      <c r="K273" s="204">
        <f t="shared" si="113"/>
        <v>61432.959999999999</v>
      </c>
      <c r="L273" s="204">
        <f t="shared" si="113"/>
        <v>715847.26000000024</v>
      </c>
      <c r="M273" s="204">
        <f t="shared" si="113"/>
        <v>10357152.740000002</v>
      </c>
      <c r="N273" s="204">
        <f t="shared" si="113"/>
        <v>1256908.1066249995</v>
      </c>
      <c r="O273" s="204">
        <f t="shared" si="113"/>
        <v>0</v>
      </c>
      <c r="P273" s="204">
        <f t="shared" si="113"/>
        <v>295789.89999999997</v>
      </c>
      <c r="Q273" s="204">
        <f t="shared" si="113"/>
        <v>2268545.2666250006</v>
      </c>
      <c r="R273" s="204">
        <f t="shared" si="113"/>
        <v>8804454.7333749998</v>
      </c>
    </row>
    <row r="274" spans="1:18" ht="39.950000000000003" customHeight="1" x14ac:dyDescent="0.2">
      <c r="H274" s="304"/>
      <c r="I274"/>
      <c r="K274" s="206"/>
      <c r="R274" s="324"/>
    </row>
    <row r="275" spans="1:18" ht="39.950000000000003" customHeight="1" x14ac:dyDescent="0.2">
      <c r="H275" s="303"/>
      <c r="I275"/>
      <c r="R275" s="206"/>
    </row>
    <row r="276" spans="1:18" ht="39.950000000000003" customHeight="1" thickBot="1" x14ac:dyDescent="0.25">
      <c r="B276" s="333" t="s">
        <v>638</v>
      </c>
      <c r="C276" s="333"/>
      <c r="D276" s="205"/>
      <c r="E276" s="334"/>
      <c r="F276" s="334"/>
      <c r="G276" s="205"/>
      <c r="H276" s="207"/>
    </row>
    <row r="277" spans="1:18" ht="39.950000000000003" customHeight="1" x14ac:dyDescent="0.2">
      <c r="B277" s="335" t="s">
        <v>653</v>
      </c>
      <c r="C277" s="335"/>
      <c r="D277" s="205"/>
      <c r="E277" s="336"/>
      <c r="F277" s="336"/>
      <c r="G277" s="205"/>
    </row>
    <row r="64882" spans="2:2" ht="39.950000000000003" customHeight="1" x14ac:dyDescent="0.2">
      <c r="B64882" s="144">
        <f>SUM(B7:B64881)</f>
        <v>0</v>
      </c>
    </row>
    <row r="64884" spans="2:2" ht="39.950000000000003" customHeight="1" x14ac:dyDescent="0.2">
      <c r="B64884" s="144">
        <f>SUM(B64882)</f>
        <v>0</v>
      </c>
    </row>
    <row r="1048210" spans="17:17" ht="39.950000000000003" customHeight="1" x14ac:dyDescent="0.2">
      <c r="Q1048210" s="123" t="e">
        <f>SUM(#REF!)</f>
        <v>#REF!</v>
      </c>
    </row>
  </sheetData>
  <mergeCells count="59">
    <mergeCell ref="A254:B254"/>
    <mergeCell ref="A258:B258"/>
    <mergeCell ref="B276:C276"/>
    <mergeCell ref="B277:C277"/>
    <mergeCell ref="A271:B271"/>
    <mergeCell ref="A262:B262"/>
    <mergeCell ref="A267:B267"/>
    <mergeCell ref="E276:F276"/>
    <mergeCell ref="E277:F277"/>
    <mergeCell ref="A145:B145"/>
    <mergeCell ref="A241:B241"/>
    <mergeCell ref="A224:B224"/>
    <mergeCell ref="A229:B229"/>
    <mergeCell ref="A186:B186"/>
    <mergeCell ref="A149:B149"/>
    <mergeCell ref="A249:B249"/>
    <mergeCell ref="A233:B233"/>
    <mergeCell ref="A237:B237"/>
    <mergeCell ref="A155:B155"/>
    <mergeCell ref="A159:B159"/>
    <mergeCell ref="A169:B169"/>
    <mergeCell ref="A164:B164"/>
    <mergeCell ref="A173:B173"/>
    <mergeCell ref="A218:B218"/>
    <mergeCell ref="A202:B202"/>
    <mergeCell ref="A245:B245"/>
    <mergeCell ref="A192:B192"/>
    <mergeCell ref="A197:B197"/>
    <mergeCell ref="A182:B182"/>
    <mergeCell ref="A212:B212"/>
    <mergeCell ref="A81:B81"/>
    <mergeCell ref="A87:B87"/>
    <mergeCell ref="A92:B92"/>
    <mergeCell ref="A100:B100"/>
    <mergeCell ref="A96:B96"/>
    <mergeCell ref="A107:B107"/>
    <mergeCell ref="A111:B111"/>
    <mergeCell ref="A119:B119"/>
    <mergeCell ref="A129:B129"/>
    <mergeCell ref="A140:B140"/>
    <mergeCell ref="A122:B122"/>
    <mergeCell ref="A114:B114"/>
    <mergeCell ref="A135:B135"/>
    <mergeCell ref="A11:B11"/>
    <mergeCell ref="A35:B35"/>
    <mergeCell ref="A2:R2"/>
    <mergeCell ref="A3:R3"/>
    <mergeCell ref="A4:R4"/>
    <mergeCell ref="A26:B26"/>
    <mergeCell ref="A20:B20"/>
    <mergeCell ref="I6:L6"/>
    <mergeCell ref="A45:B45"/>
    <mergeCell ref="A53:B53"/>
    <mergeCell ref="A58:B58"/>
    <mergeCell ref="A66:B66"/>
    <mergeCell ref="A74:B74"/>
    <mergeCell ref="A62:B62"/>
    <mergeCell ref="A49:B49"/>
    <mergeCell ref="A70:B70"/>
  </mergeCells>
  <phoneticPr fontId="19" type="noConversion"/>
  <pageMargins left="0.15748031496062992" right="0.15748031496062992" top="0.15748031496062992" bottom="0.17" header="0.15748031496062992" footer="0.15748031496062992"/>
  <pageSetup paperSize="5" scale="48" fitToHeight="0" orientation="landscape" r:id="rId1"/>
  <rowBreaks count="11" manualBreakCount="11">
    <brk id="31" max="17" man="1"/>
    <brk id="56" max="17" man="1"/>
    <brk id="79" max="17" man="1"/>
    <brk id="103" max="17" man="1"/>
    <brk id="127" max="17" man="1"/>
    <brk id="150" max="17" man="1"/>
    <brk id="173" max="17" man="1"/>
    <brk id="197" max="17" man="1"/>
    <brk id="218" max="17" man="1"/>
    <brk id="241" max="17" man="1"/>
    <brk id="262" max="1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77147"/>
  <sheetViews>
    <sheetView showGridLines="0" topLeftCell="B1" zoomScale="85" zoomScaleNormal="85" zoomScaleSheetLayoutView="90" workbookViewId="0">
      <selection activeCell="B23" sqref="B23:C24"/>
    </sheetView>
  </sheetViews>
  <sheetFormatPr baseColWidth="10" defaultColWidth="11.42578125" defaultRowHeight="39.950000000000003" customHeight="1" x14ac:dyDescent="0.2"/>
  <cols>
    <col min="1" max="1" width="6.42578125" style="113" customWidth="1"/>
    <col min="2" max="2" width="43.85546875" style="113" customWidth="1"/>
    <col min="3" max="3" width="8.85546875" style="113" customWidth="1"/>
    <col min="4" max="4" width="47.85546875" style="113" customWidth="1"/>
    <col min="5" max="5" width="54.140625" style="113" customWidth="1"/>
    <col min="6" max="6" width="18.5703125" style="126" customWidth="1"/>
    <col min="7" max="8" width="15" style="113" customWidth="1"/>
    <col min="9" max="9" width="14.140625" style="113" customWidth="1"/>
    <col min="10" max="10" width="15" style="113" customWidth="1"/>
    <col min="11" max="11" width="18.140625" style="113" customWidth="1"/>
    <col min="12" max="12" width="18.28515625" style="113" bestFit="1" customWidth="1"/>
    <col min="13" max="13" width="14.85546875" style="113" customWidth="1"/>
    <col min="14" max="14" width="18.7109375" style="113" customWidth="1"/>
    <col min="15" max="15" width="17.7109375" style="124" customWidth="1"/>
    <col min="16" max="16384" width="11.42578125" style="113"/>
  </cols>
  <sheetData>
    <row r="1" spans="1:15" ht="20.100000000000001" customHeight="1" x14ac:dyDescent="0.2">
      <c r="A1" s="337" t="s">
        <v>328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</row>
    <row r="2" spans="1:15" ht="20.100000000000001" customHeight="1" x14ac:dyDescent="0.2">
      <c r="A2" s="338" t="s">
        <v>329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</row>
    <row r="3" spans="1:15" ht="20.100000000000001" customHeight="1" x14ac:dyDescent="0.2">
      <c r="A3" s="339" t="s">
        <v>650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125"/>
    </row>
    <row r="4" spans="1:15" ht="20.100000000000001" customHeight="1" thickBo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25"/>
    </row>
    <row r="5" spans="1:15" ht="20.100000000000001" customHeight="1" thickBot="1" x14ac:dyDescent="0.25">
      <c r="A5" s="126"/>
      <c r="B5" s="112"/>
      <c r="C5" s="112"/>
      <c r="D5" s="112"/>
      <c r="F5" s="127"/>
      <c r="G5" s="377" t="s">
        <v>96</v>
      </c>
      <c r="H5" s="378"/>
      <c r="I5" s="96"/>
      <c r="J5" s="96"/>
      <c r="K5" s="126"/>
      <c r="L5" s="126"/>
      <c r="M5" s="126"/>
      <c r="N5" s="126"/>
      <c r="O5" s="128"/>
    </row>
    <row r="6" spans="1:15" s="126" customFormat="1" ht="42" customHeight="1" x14ac:dyDescent="0.2">
      <c r="A6" s="302" t="s">
        <v>0</v>
      </c>
      <c r="B6" s="302" t="s">
        <v>296</v>
      </c>
      <c r="C6" s="302" t="s">
        <v>340</v>
      </c>
      <c r="D6" s="302" t="s">
        <v>101</v>
      </c>
      <c r="E6" s="302" t="s">
        <v>102</v>
      </c>
      <c r="F6" s="302" t="s">
        <v>99</v>
      </c>
      <c r="G6" s="302" t="s">
        <v>1</v>
      </c>
      <c r="H6" s="302" t="s">
        <v>2</v>
      </c>
      <c r="I6" s="302" t="s">
        <v>443</v>
      </c>
      <c r="J6" s="302" t="s">
        <v>440</v>
      </c>
      <c r="K6" s="302" t="s">
        <v>441</v>
      </c>
      <c r="L6" s="302" t="s">
        <v>91</v>
      </c>
      <c r="M6" s="302" t="s">
        <v>93</v>
      </c>
      <c r="N6" s="302" t="s">
        <v>3</v>
      </c>
      <c r="O6" s="302" t="s">
        <v>92</v>
      </c>
    </row>
    <row r="7" spans="1:15" s="126" customFormat="1" ht="35.1" customHeight="1" x14ac:dyDescent="0.2">
      <c r="A7" s="305">
        <v>1</v>
      </c>
      <c r="B7" s="310" t="s">
        <v>202</v>
      </c>
      <c r="C7" s="152" t="s">
        <v>339</v>
      </c>
      <c r="D7" s="153" t="s">
        <v>125</v>
      </c>
      <c r="E7" s="153" t="s">
        <v>150</v>
      </c>
      <c r="F7" s="311">
        <v>155000</v>
      </c>
      <c r="G7" s="130">
        <f t="shared" ref="G7:G13" si="0">F7*2.87%</f>
        <v>4448.5</v>
      </c>
      <c r="H7" s="130">
        <f t="shared" ref="H7:H13" si="1">+F7*3.04%</f>
        <v>4712</v>
      </c>
      <c r="I7" s="311"/>
      <c r="J7" s="130">
        <f>+G7+H7+I7</f>
        <v>9160.5</v>
      </c>
      <c r="K7" s="130">
        <f>+F7-J7</f>
        <v>145839.5</v>
      </c>
      <c r="L7" s="130">
        <f>+IF(K7*12&lt;=416220.01,0,IF(K7*12&lt;=624329.01,(((K7*12-416220.01)*0.15)/12),IF((K7*12&lt;=867123.01),(31216+0.2*(K7*12-624329.01))/12,((79776+0.25*(K7*12-867123.01))/12))))</f>
        <v>25042.812291666665</v>
      </c>
      <c r="M7" s="130">
        <v>8523.77</v>
      </c>
      <c r="N7" s="130">
        <f>+M7+L7+J7</f>
        <v>42727.082291666666</v>
      </c>
      <c r="O7" s="312">
        <f>+F7-N7</f>
        <v>112272.91770833333</v>
      </c>
    </row>
    <row r="8" spans="1:15" s="124" customFormat="1" ht="35.1" customHeight="1" x14ac:dyDescent="0.2">
      <c r="A8" s="305">
        <v>2</v>
      </c>
      <c r="B8" s="299" t="s">
        <v>216</v>
      </c>
      <c r="C8" s="108" t="s">
        <v>339</v>
      </c>
      <c r="D8" s="107" t="s">
        <v>568</v>
      </c>
      <c r="E8" s="107" t="s">
        <v>554</v>
      </c>
      <c r="F8" s="313">
        <v>155000</v>
      </c>
      <c r="G8" s="130">
        <f t="shared" si="0"/>
        <v>4448.5</v>
      </c>
      <c r="H8" s="130">
        <f t="shared" si="1"/>
        <v>4712</v>
      </c>
      <c r="I8" s="311">
        <v>1919.78</v>
      </c>
      <c r="J8" s="130">
        <f t="shared" ref="J8:J20" si="2">+G8+H8+I8</f>
        <v>11080.28</v>
      </c>
      <c r="K8" s="130">
        <f t="shared" ref="K8:K10" si="3">+F8-J8</f>
        <v>143919.72</v>
      </c>
      <c r="L8" s="130">
        <f t="shared" ref="L8:L20" si="4">+IF(K8*12&lt;=416220.01,0,IF(K8*12&lt;=624329.01,(((K8*12-416220.01)*0.15)/12),IF((K8*12&lt;=867123.01),(31216+0.2*(K8*12-624329.01))/12,((79776+0.25*(K8*12-867123.01))/12))))</f>
        <v>24562.867291666669</v>
      </c>
      <c r="M8" s="130">
        <v>25</v>
      </c>
      <c r="N8" s="130">
        <f t="shared" ref="N8:N20" si="5">+M8+L8+J8</f>
        <v>35668.147291666668</v>
      </c>
      <c r="O8" s="312">
        <f t="shared" ref="O8:O20" si="6">+F8-N8</f>
        <v>119331.85270833333</v>
      </c>
    </row>
    <row r="9" spans="1:15" s="128" customFormat="1" ht="35.1" customHeight="1" x14ac:dyDescent="0.2">
      <c r="A9" s="305">
        <v>3</v>
      </c>
      <c r="B9" s="299" t="s">
        <v>210</v>
      </c>
      <c r="C9" s="108" t="s">
        <v>339</v>
      </c>
      <c r="D9" s="107" t="s">
        <v>388</v>
      </c>
      <c r="E9" s="107" t="s">
        <v>211</v>
      </c>
      <c r="F9" s="313">
        <v>155000</v>
      </c>
      <c r="G9" s="130">
        <f t="shared" si="0"/>
        <v>4448.5</v>
      </c>
      <c r="H9" s="130">
        <f t="shared" si="1"/>
        <v>4712</v>
      </c>
      <c r="I9" s="313"/>
      <c r="J9" s="130">
        <f t="shared" si="2"/>
        <v>9160.5</v>
      </c>
      <c r="K9" s="130">
        <f t="shared" si="3"/>
        <v>145839.5</v>
      </c>
      <c r="L9" s="130">
        <f t="shared" si="4"/>
        <v>25042.812291666665</v>
      </c>
      <c r="M9" s="135">
        <v>25</v>
      </c>
      <c r="N9" s="130">
        <f t="shared" si="5"/>
        <v>34228.312291666662</v>
      </c>
      <c r="O9" s="312">
        <f t="shared" si="6"/>
        <v>120771.68770833334</v>
      </c>
    </row>
    <row r="10" spans="1:15" s="128" customFormat="1" ht="35.1" customHeight="1" x14ac:dyDescent="0.2">
      <c r="A10" s="305">
        <v>4</v>
      </c>
      <c r="B10" s="299" t="s">
        <v>45</v>
      </c>
      <c r="C10" s="108" t="s">
        <v>338</v>
      </c>
      <c r="D10" s="107" t="s">
        <v>388</v>
      </c>
      <c r="E10" s="107" t="s">
        <v>582</v>
      </c>
      <c r="F10" s="313">
        <v>110000</v>
      </c>
      <c r="G10" s="130">
        <f t="shared" si="0"/>
        <v>3157</v>
      </c>
      <c r="H10" s="130">
        <f t="shared" si="1"/>
        <v>3344</v>
      </c>
      <c r="I10" s="313"/>
      <c r="J10" s="130">
        <f t="shared" si="2"/>
        <v>6501</v>
      </c>
      <c r="K10" s="130">
        <f t="shared" si="3"/>
        <v>103499</v>
      </c>
      <c r="L10" s="130">
        <f t="shared" si="4"/>
        <v>14457.687291666667</v>
      </c>
      <c r="M10" s="135">
        <v>10290.290000000001</v>
      </c>
      <c r="N10" s="130">
        <f t="shared" si="5"/>
        <v>31248.97729166667</v>
      </c>
      <c r="O10" s="312">
        <f t="shared" si="6"/>
        <v>78751.02270833333</v>
      </c>
    </row>
    <row r="11" spans="1:15" s="128" customFormat="1" ht="35.1" customHeight="1" x14ac:dyDescent="0.2">
      <c r="A11" s="305">
        <v>5</v>
      </c>
      <c r="B11" s="299" t="s">
        <v>209</v>
      </c>
      <c r="C11" s="108" t="s">
        <v>339</v>
      </c>
      <c r="D11" s="107" t="s">
        <v>127</v>
      </c>
      <c r="E11" s="107" t="s">
        <v>582</v>
      </c>
      <c r="F11" s="313">
        <v>100000</v>
      </c>
      <c r="G11" s="135">
        <f t="shared" si="0"/>
        <v>2870</v>
      </c>
      <c r="H11" s="135">
        <f t="shared" si="1"/>
        <v>3040</v>
      </c>
      <c r="I11" s="313"/>
      <c r="J11" s="130">
        <f t="shared" si="2"/>
        <v>5910</v>
      </c>
      <c r="K11" s="135">
        <f>+F11-J11</f>
        <v>94090</v>
      </c>
      <c r="L11" s="130">
        <f t="shared" si="4"/>
        <v>12105.437291666667</v>
      </c>
      <c r="M11" s="135">
        <v>10601.62</v>
      </c>
      <c r="N11" s="130">
        <f t="shared" si="5"/>
        <v>28617.057291666668</v>
      </c>
      <c r="O11" s="312">
        <f t="shared" si="6"/>
        <v>71382.942708333328</v>
      </c>
    </row>
    <row r="12" spans="1:15" ht="35.1" customHeight="1" x14ac:dyDescent="0.2">
      <c r="A12" s="305">
        <v>6</v>
      </c>
      <c r="B12" s="299" t="s">
        <v>645</v>
      </c>
      <c r="C12" s="108" t="s">
        <v>595</v>
      </c>
      <c r="D12" s="109" t="s">
        <v>647</v>
      </c>
      <c r="E12" s="109" t="s">
        <v>85</v>
      </c>
      <c r="F12" s="135">
        <v>80000</v>
      </c>
      <c r="G12" s="135">
        <f>F12*2.87%</f>
        <v>2296</v>
      </c>
      <c r="H12" s="135">
        <f>+F12*3.04%</f>
        <v>2432</v>
      </c>
      <c r="I12" s="135"/>
      <c r="J12" s="130">
        <f>+G12+H12+I12</f>
        <v>4728</v>
      </c>
      <c r="K12" s="135">
        <f>+F12-J12</f>
        <v>75272</v>
      </c>
      <c r="L12" s="130">
        <f>+IF(K12*12&lt;=416220.01,0,IF(K12*12&lt;=624329.01,(((K12*12-416220.01)*0.15)/12),IF((K12*12&lt;=867123.01),(31216+0.2*(K12*12-624329.01))/12,((79776+0.25*(K12*12-867123.01))/12))))</f>
        <v>7400.9372916666662</v>
      </c>
      <c r="M12" s="135">
        <v>4911.82</v>
      </c>
      <c r="N12" s="130">
        <f>+M12+L12+J12</f>
        <v>17040.757291666665</v>
      </c>
      <c r="O12" s="312">
        <f>+F12-N12</f>
        <v>62959.242708333331</v>
      </c>
    </row>
    <row r="13" spans="1:15" ht="35.1" customHeight="1" x14ac:dyDescent="0.2">
      <c r="A13" s="305">
        <v>7</v>
      </c>
      <c r="B13" s="299" t="s">
        <v>195</v>
      </c>
      <c r="C13" s="108" t="s">
        <v>338</v>
      </c>
      <c r="D13" s="109" t="s">
        <v>259</v>
      </c>
      <c r="E13" s="109" t="s">
        <v>11</v>
      </c>
      <c r="F13" s="135">
        <v>70000</v>
      </c>
      <c r="G13" s="135">
        <f t="shared" si="0"/>
        <v>2009</v>
      </c>
      <c r="H13" s="135">
        <f t="shared" si="1"/>
        <v>2128</v>
      </c>
      <c r="I13" s="135">
        <v>1919.78</v>
      </c>
      <c r="J13" s="130">
        <f>+G13+H13+I13</f>
        <v>6056.78</v>
      </c>
      <c r="K13" s="135">
        <f>+F13-J13</f>
        <v>63943.22</v>
      </c>
      <c r="L13" s="130">
        <f t="shared" si="4"/>
        <v>4984.4938333333339</v>
      </c>
      <c r="M13" s="135">
        <v>26027.85</v>
      </c>
      <c r="N13" s="130">
        <f>+M13+L13+J13</f>
        <v>37069.123833333331</v>
      </c>
      <c r="O13" s="312">
        <f>+F13-N13</f>
        <v>32930.876166666669</v>
      </c>
    </row>
    <row r="14" spans="1:15" s="148" customFormat="1" ht="42.75" customHeight="1" x14ac:dyDescent="0.2">
      <c r="A14" s="305">
        <v>8</v>
      </c>
      <c r="B14" s="299" t="s">
        <v>54</v>
      </c>
      <c r="C14" s="108" t="s">
        <v>339</v>
      </c>
      <c r="D14" s="107" t="s">
        <v>627</v>
      </c>
      <c r="E14" s="107" t="s">
        <v>51</v>
      </c>
      <c r="F14" s="135">
        <v>60000</v>
      </c>
      <c r="G14" s="135">
        <f>F14*2.87%</f>
        <v>1722</v>
      </c>
      <c r="H14" s="135">
        <f>+F14*3.04%</f>
        <v>1824</v>
      </c>
      <c r="I14" s="135">
        <f>1919.78*2</f>
        <v>3839.56</v>
      </c>
      <c r="J14" s="135">
        <f>+G14+H14+I14</f>
        <v>7385.5599999999995</v>
      </c>
      <c r="K14" s="135">
        <f>+F14-J14</f>
        <v>52614.44</v>
      </c>
      <c r="L14" s="130">
        <f t="shared" si="4"/>
        <v>2718.7378333333336</v>
      </c>
      <c r="M14" s="135">
        <v>1090.29</v>
      </c>
      <c r="N14" s="135">
        <f>+M14+L14+J14</f>
        <v>11194.587833333333</v>
      </c>
      <c r="O14" s="312">
        <f>+F14-N14</f>
        <v>48805.412166666669</v>
      </c>
    </row>
    <row r="15" spans="1:15" ht="35.1" customHeight="1" x14ac:dyDescent="0.2">
      <c r="A15" s="305">
        <v>9</v>
      </c>
      <c r="B15" s="310" t="s">
        <v>334</v>
      </c>
      <c r="C15" s="152" t="s">
        <v>338</v>
      </c>
      <c r="D15" s="314" t="s">
        <v>345</v>
      </c>
      <c r="E15" s="153" t="s">
        <v>335</v>
      </c>
      <c r="F15" s="130">
        <v>44000</v>
      </c>
      <c r="G15" s="130">
        <f t="shared" ref="G15" si="7">F15*2.87%</f>
        <v>1262.8</v>
      </c>
      <c r="H15" s="130">
        <f t="shared" ref="H15" si="8">+F15*3.04%</f>
        <v>1337.6</v>
      </c>
      <c r="I15" s="130"/>
      <c r="J15" s="130">
        <f t="shared" si="2"/>
        <v>2600.3999999999996</v>
      </c>
      <c r="K15" s="130">
        <f t="shared" ref="K15:K18" si="9">+F15-J15</f>
        <v>41399.599999999999</v>
      </c>
      <c r="L15" s="130">
        <f t="shared" si="4"/>
        <v>1007.1898749999992</v>
      </c>
      <c r="M15" s="315">
        <v>25</v>
      </c>
      <c r="N15" s="130">
        <f t="shared" si="5"/>
        <v>3632.5898749999988</v>
      </c>
      <c r="O15" s="312">
        <f t="shared" si="6"/>
        <v>40367.410125000002</v>
      </c>
    </row>
    <row r="16" spans="1:15" ht="35.1" customHeight="1" x14ac:dyDescent="0.2">
      <c r="A16" s="305">
        <v>10</v>
      </c>
      <c r="B16" s="299" t="s">
        <v>31</v>
      </c>
      <c r="C16" s="108" t="s">
        <v>338</v>
      </c>
      <c r="D16" s="107" t="s">
        <v>148</v>
      </c>
      <c r="E16" s="316" t="s">
        <v>77</v>
      </c>
      <c r="F16" s="300">
        <v>36000</v>
      </c>
      <c r="G16" s="301">
        <f t="shared" ref="G16:G18" si="10">F16*2.87%</f>
        <v>1033.2</v>
      </c>
      <c r="H16" s="301">
        <f t="shared" ref="H16:H18" si="11">+F16*3.04%</f>
        <v>1094.4000000000001</v>
      </c>
      <c r="I16" s="300"/>
      <c r="J16" s="130">
        <f t="shared" si="2"/>
        <v>2127.6000000000004</v>
      </c>
      <c r="K16" s="301">
        <f t="shared" si="9"/>
        <v>33872.400000000001</v>
      </c>
      <c r="L16" s="130">
        <f t="shared" si="4"/>
        <v>0</v>
      </c>
      <c r="M16" s="135">
        <v>25</v>
      </c>
      <c r="N16" s="130">
        <f t="shared" si="5"/>
        <v>2152.6000000000004</v>
      </c>
      <c r="O16" s="312">
        <f t="shared" si="6"/>
        <v>33847.4</v>
      </c>
    </row>
    <row r="17" spans="1:15" ht="35.1" customHeight="1" x14ac:dyDescent="0.2">
      <c r="A17" s="305">
        <v>11</v>
      </c>
      <c r="B17" s="299" t="s">
        <v>28</v>
      </c>
      <c r="C17" s="108" t="s">
        <v>338</v>
      </c>
      <c r="D17" s="109" t="s">
        <v>272</v>
      </c>
      <c r="E17" s="109" t="s">
        <v>26</v>
      </c>
      <c r="F17" s="300">
        <v>35000</v>
      </c>
      <c r="G17" s="301">
        <f t="shared" si="10"/>
        <v>1004.5</v>
      </c>
      <c r="H17" s="301">
        <f t="shared" si="11"/>
        <v>1064</v>
      </c>
      <c r="I17" s="300">
        <v>0</v>
      </c>
      <c r="J17" s="130">
        <f t="shared" si="2"/>
        <v>2068.5</v>
      </c>
      <c r="K17" s="301">
        <f t="shared" si="9"/>
        <v>32931.5</v>
      </c>
      <c r="L17" s="130">
        <f t="shared" si="4"/>
        <v>0</v>
      </c>
      <c r="M17" s="135">
        <v>265</v>
      </c>
      <c r="N17" s="130">
        <f t="shared" si="5"/>
        <v>2333.5</v>
      </c>
      <c r="O17" s="312">
        <f t="shared" si="6"/>
        <v>32666.5</v>
      </c>
    </row>
    <row r="18" spans="1:15" ht="35.1" customHeight="1" x14ac:dyDescent="0.2">
      <c r="A18" s="305">
        <v>12</v>
      </c>
      <c r="B18" s="299" t="s">
        <v>278</v>
      </c>
      <c r="C18" s="108" t="s">
        <v>338</v>
      </c>
      <c r="D18" s="109" t="s">
        <v>272</v>
      </c>
      <c r="E18" s="109" t="s">
        <v>26</v>
      </c>
      <c r="F18" s="300">
        <v>35000</v>
      </c>
      <c r="G18" s="301">
        <f t="shared" si="10"/>
        <v>1004.5</v>
      </c>
      <c r="H18" s="301">
        <f t="shared" si="11"/>
        <v>1064</v>
      </c>
      <c r="I18" s="300"/>
      <c r="J18" s="130">
        <f t="shared" si="2"/>
        <v>2068.5</v>
      </c>
      <c r="K18" s="301">
        <f t="shared" si="9"/>
        <v>32931.5</v>
      </c>
      <c r="L18" s="130">
        <f t="shared" si="4"/>
        <v>0</v>
      </c>
      <c r="M18" s="135">
        <v>225</v>
      </c>
      <c r="N18" s="130">
        <f t="shared" si="5"/>
        <v>2293.5</v>
      </c>
      <c r="O18" s="312">
        <f t="shared" si="6"/>
        <v>32706.5</v>
      </c>
    </row>
    <row r="19" spans="1:15" ht="35.1" customHeight="1" x14ac:dyDescent="0.2">
      <c r="A19" s="305">
        <v>13</v>
      </c>
      <c r="B19" s="299" t="s">
        <v>17</v>
      </c>
      <c r="C19" s="108" t="s">
        <v>595</v>
      </c>
      <c r="D19" s="109" t="s">
        <v>646</v>
      </c>
      <c r="E19" s="109" t="s">
        <v>76</v>
      </c>
      <c r="F19" s="135">
        <v>32000</v>
      </c>
      <c r="G19" s="135">
        <f>F19*2.87%</f>
        <v>918.4</v>
      </c>
      <c r="H19" s="135">
        <f>+F19*3.04%</f>
        <v>972.8</v>
      </c>
      <c r="I19" s="135">
        <v>1919.78</v>
      </c>
      <c r="J19" s="130">
        <f>+G19+H19+I19</f>
        <v>3810.9799999999996</v>
      </c>
      <c r="K19" s="135">
        <f>+F19-J19</f>
        <v>28189.02</v>
      </c>
      <c r="L19" s="130">
        <f>+IF(K19*12&lt;=416220.01,0,IF(K19*12&lt;=624329.01,(((K19*12-416220.01)*0.15)/12),IF((K19*12&lt;=867123.01),(31216+0.2*(K19*12-624329.01))/12,((79776+0.25*(K19*12-867123.01))/12))))</f>
        <v>0</v>
      </c>
      <c r="M19" s="135">
        <v>225</v>
      </c>
      <c r="N19" s="130">
        <f>+M19+L19+J19</f>
        <v>4035.9799999999996</v>
      </c>
      <c r="O19" s="312">
        <f>+F19-N19</f>
        <v>27964.02</v>
      </c>
    </row>
    <row r="20" spans="1:15" ht="35.1" customHeight="1" thickBot="1" x14ac:dyDescent="0.25">
      <c r="A20" s="305">
        <v>14</v>
      </c>
      <c r="B20" s="299" t="s">
        <v>279</v>
      </c>
      <c r="C20" s="108" t="s">
        <v>338</v>
      </c>
      <c r="D20" s="109" t="s">
        <v>272</v>
      </c>
      <c r="E20" s="109" t="s">
        <v>26</v>
      </c>
      <c r="F20" s="135">
        <v>26565</v>
      </c>
      <c r="G20" s="135">
        <f t="shared" ref="G20" si="12">F20*2.87%</f>
        <v>762.41549999999995</v>
      </c>
      <c r="H20" s="135">
        <f t="shared" ref="H20" si="13">+F20*3.04%</f>
        <v>807.57600000000002</v>
      </c>
      <c r="I20" s="135"/>
      <c r="J20" s="130">
        <f t="shared" si="2"/>
        <v>1569.9915000000001</v>
      </c>
      <c r="K20" s="135">
        <f t="shared" ref="K20" si="14">+F20-J20</f>
        <v>24995.0085</v>
      </c>
      <c r="L20" s="130">
        <f t="shared" si="4"/>
        <v>0</v>
      </c>
      <c r="M20" s="135">
        <v>12276.52</v>
      </c>
      <c r="N20" s="130">
        <f t="shared" si="5"/>
        <v>13846.511500000001</v>
      </c>
      <c r="O20" s="312">
        <f t="shared" si="6"/>
        <v>12718.488499999999</v>
      </c>
    </row>
    <row r="21" spans="1:15" ht="39.950000000000003" customHeight="1" thickBot="1" x14ac:dyDescent="0.25">
      <c r="A21" s="136"/>
      <c r="B21" s="136"/>
      <c r="C21" s="119"/>
      <c r="D21" s="119"/>
      <c r="E21" s="327" t="s">
        <v>330</v>
      </c>
      <c r="F21" s="306">
        <f t="shared" ref="F21:O21" si="15">SUM(F7:F20)</f>
        <v>1093565</v>
      </c>
      <c r="G21" s="306">
        <f t="shared" si="15"/>
        <v>31385.315500000001</v>
      </c>
      <c r="H21" s="306">
        <f t="shared" si="15"/>
        <v>33244.375999999997</v>
      </c>
      <c r="I21" s="306">
        <f t="shared" si="15"/>
        <v>9598.9</v>
      </c>
      <c r="J21" s="306">
        <f t="shared" si="15"/>
        <v>74228.591499999995</v>
      </c>
      <c r="K21" s="306">
        <f t="shared" si="15"/>
        <v>1019336.4084999999</v>
      </c>
      <c r="L21" s="306">
        <f t="shared" si="15"/>
        <v>117322.97529166663</v>
      </c>
      <c r="M21" s="306">
        <f t="shared" si="15"/>
        <v>74537.16</v>
      </c>
      <c r="N21" s="306">
        <f t="shared" si="15"/>
        <v>266088.72679166665</v>
      </c>
      <c r="O21" s="306">
        <f t="shared" si="15"/>
        <v>827476.27320833341</v>
      </c>
    </row>
    <row r="22" spans="1:15" customFormat="1" ht="39.950000000000003" customHeight="1" x14ac:dyDescent="0.2">
      <c r="F22" s="126"/>
    </row>
    <row r="23" spans="1:15" ht="39.950000000000003" customHeight="1" thickBot="1" x14ac:dyDescent="0.25">
      <c r="B23" s="333" t="s">
        <v>638</v>
      </c>
      <c r="C23" s="333"/>
      <c r="D23" s="121"/>
      <c r="E23" s="379"/>
      <c r="F23" s="334"/>
      <c r="H23" s="122"/>
      <c r="I23" s="122"/>
      <c r="J23" s="122"/>
      <c r="O23" s="113"/>
    </row>
    <row r="24" spans="1:15" ht="39.950000000000003" customHeight="1" x14ac:dyDescent="0.2">
      <c r="B24" s="335" t="s">
        <v>653</v>
      </c>
      <c r="C24" s="335"/>
      <c r="D24" s="121"/>
      <c r="E24" s="336"/>
      <c r="F24" s="336"/>
      <c r="H24" s="122"/>
      <c r="I24" s="122"/>
      <c r="J24" s="122"/>
      <c r="O24" s="113"/>
    </row>
    <row r="25" spans="1:15" ht="39.950000000000003" customHeight="1" x14ac:dyDescent="0.25">
      <c r="B25" s="325"/>
      <c r="C25" s="325"/>
      <c r="D25" s="121"/>
      <c r="E25" s="326"/>
      <c r="F25" s="64"/>
      <c r="H25" s="122"/>
      <c r="I25" s="122"/>
      <c r="J25" s="122"/>
      <c r="O25" s="133"/>
    </row>
    <row r="26" spans="1:15" ht="39.950000000000003" customHeight="1" x14ac:dyDescent="0.25">
      <c r="B26" s="369"/>
      <c r="C26" s="369"/>
      <c r="E26" s="64"/>
      <c r="F26" s="64"/>
      <c r="O26" s="133"/>
    </row>
    <row r="27" spans="1:15" ht="39.950000000000003" customHeight="1" x14ac:dyDescent="0.2">
      <c r="O27" s="133"/>
    </row>
    <row r="28" spans="1:15" ht="39.950000000000003" customHeight="1" x14ac:dyDescent="0.2">
      <c r="O28" s="133"/>
    </row>
    <row r="29" spans="1:15" ht="39.950000000000003" customHeight="1" x14ac:dyDescent="0.2">
      <c r="O29" s="133"/>
    </row>
    <row r="34" spans="2:2" ht="39.950000000000003" customHeight="1" x14ac:dyDescent="0.2">
      <c r="B34" s="113" t="s">
        <v>504</v>
      </c>
    </row>
    <row r="877147" spans="13:13" ht="39.950000000000003" customHeight="1" x14ac:dyDescent="0.2">
      <c r="M877147" s="137" t="e">
        <f>SUM(#REF!)</f>
        <v>#REF!</v>
      </c>
    </row>
  </sheetData>
  <sortState xmlns:xlrd2="http://schemas.microsoft.com/office/spreadsheetml/2017/richdata2" ref="A15:O21">
    <sortCondition descending="1" ref="F15:F21"/>
  </sortState>
  <mergeCells count="9">
    <mergeCell ref="B24:C24"/>
    <mergeCell ref="B26:C26"/>
    <mergeCell ref="G5:H5"/>
    <mergeCell ref="A1:N1"/>
    <mergeCell ref="A2:N2"/>
    <mergeCell ref="A3:N3"/>
    <mergeCell ref="B23:C23"/>
    <mergeCell ref="E23:F23"/>
    <mergeCell ref="E24:F24"/>
  </mergeCells>
  <pageMargins left="0.17" right="0.17" top="0.17" bottom="0.17" header="0.17" footer="0.17"/>
  <pageSetup paperSize="5" scale="54" fitToHeight="0" orientation="landscape" r:id="rId1"/>
  <rowBreaks count="1" manualBreakCount="1">
    <brk id="51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7065-5810-4EEF-AD30-B319C9948A9B}">
  <sheetPr>
    <pageSetUpPr fitToPage="1"/>
  </sheetPr>
  <dimension ref="A1:P999849"/>
  <sheetViews>
    <sheetView showGridLines="0" tabSelected="1" zoomScale="70" zoomScaleNormal="70" zoomScaleSheetLayoutView="70" workbookViewId="0">
      <selection activeCell="L16" sqref="L16"/>
    </sheetView>
  </sheetViews>
  <sheetFormatPr baseColWidth="10" defaultColWidth="11.42578125" defaultRowHeight="35.1" customHeight="1" x14ac:dyDescent="0.2"/>
  <cols>
    <col min="1" max="1" width="6.42578125" style="113" customWidth="1"/>
    <col min="2" max="2" width="41.140625" style="144" customWidth="1"/>
    <col min="3" max="3" width="9.140625" style="113" customWidth="1"/>
    <col min="4" max="4" width="37.7109375" style="144" customWidth="1"/>
    <col min="5" max="5" width="29.28515625" style="144" customWidth="1"/>
    <col min="6" max="6" width="22.7109375" style="111" bestFit="1" customWidth="1"/>
    <col min="7" max="7" width="20.28515625" style="110" customWidth="1"/>
    <col min="8" max="8" width="24" style="110" customWidth="1"/>
    <col min="9" max="9" width="23.140625" style="110" customWidth="1"/>
    <col min="10" max="10" width="21.5703125" style="110" bestFit="1" customWidth="1"/>
    <col min="11" max="11" width="24" style="110" customWidth="1"/>
    <col min="12" max="12" width="22.28515625" style="110" customWidth="1"/>
    <col min="13" max="13" width="22.28515625" style="110" hidden="1" customWidth="1"/>
    <col min="14" max="14" width="19" style="110" customWidth="1"/>
    <col min="15" max="16" width="22.85546875" style="110" customWidth="1"/>
    <col min="17" max="17" width="17" style="110" customWidth="1"/>
    <col min="18" max="16384" width="11.42578125" style="110"/>
  </cols>
  <sheetData>
    <row r="1" spans="1:16" ht="26.25" customHeight="1" x14ac:dyDescent="0.2">
      <c r="A1" s="337" t="s">
        <v>328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</row>
    <row r="2" spans="1:16" ht="26.25" customHeight="1" x14ac:dyDescent="0.2">
      <c r="A2" s="338" t="s">
        <v>657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</row>
    <row r="3" spans="1:16" ht="21.75" customHeight="1" x14ac:dyDescent="0.2">
      <c r="A3" s="339" t="s">
        <v>650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</row>
    <row r="4" spans="1:16" ht="35.1" customHeight="1" thickBot="1" x14ac:dyDescent="0.25">
      <c r="A4" s="138"/>
      <c r="B4" s="138"/>
      <c r="C4" s="106"/>
      <c r="D4" s="143"/>
      <c r="E4" s="143"/>
      <c r="F4" s="106"/>
    </row>
    <row r="5" spans="1:16" ht="35.1" customHeight="1" thickBot="1" x14ac:dyDescent="0.25">
      <c r="A5" s="209" t="s">
        <v>434</v>
      </c>
      <c r="B5" s="210"/>
      <c r="C5" s="209"/>
      <c r="D5" s="210"/>
      <c r="E5" s="210"/>
      <c r="F5" s="211"/>
      <c r="G5" s="340" t="s">
        <v>96</v>
      </c>
      <c r="H5" s="341"/>
      <c r="I5" s="341"/>
      <c r="J5" s="342"/>
      <c r="K5" s="95"/>
      <c r="L5" s="149"/>
      <c r="M5" s="149"/>
      <c r="N5" s="149"/>
      <c r="O5" s="149"/>
      <c r="P5" s="149"/>
    </row>
    <row r="6" spans="1:16" s="212" customFormat="1" ht="35.1" customHeight="1" thickBot="1" x14ac:dyDescent="0.25">
      <c r="A6" s="19" t="s">
        <v>0</v>
      </c>
      <c r="B6" s="19" t="s">
        <v>296</v>
      </c>
      <c r="C6" s="19" t="s">
        <v>340</v>
      </c>
      <c r="D6" s="19" t="s">
        <v>352</v>
      </c>
      <c r="E6" s="19" t="s">
        <v>90</v>
      </c>
      <c r="F6" s="77" t="s">
        <v>99</v>
      </c>
      <c r="G6" s="78" t="s">
        <v>1</v>
      </c>
      <c r="H6" s="79" t="s">
        <v>2</v>
      </c>
      <c r="I6" s="82" t="s">
        <v>439</v>
      </c>
      <c r="J6" s="83" t="s">
        <v>440</v>
      </c>
      <c r="K6" s="80" t="s">
        <v>441</v>
      </c>
      <c r="L6" s="21" t="s">
        <v>91</v>
      </c>
      <c r="M6" s="21"/>
      <c r="N6" s="21" t="s">
        <v>93</v>
      </c>
      <c r="O6" s="21" t="s">
        <v>3</v>
      </c>
      <c r="P6" s="21" t="s">
        <v>92</v>
      </c>
    </row>
    <row r="7" spans="1:16" s="148" customFormat="1" ht="35.1" customHeight="1" thickBot="1" x14ac:dyDescent="0.25">
      <c r="A7" s="332" t="s">
        <v>124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</row>
    <row r="8" spans="1:16" s="149" customFormat="1" ht="46.5" customHeight="1" x14ac:dyDescent="0.2">
      <c r="A8" s="218">
        <v>1</v>
      </c>
      <c r="B8" s="219" t="s">
        <v>659</v>
      </c>
      <c r="C8" s="218" t="s">
        <v>339</v>
      </c>
      <c r="D8" s="225" t="s">
        <v>589</v>
      </c>
      <c r="E8" s="72" t="s">
        <v>658</v>
      </c>
      <c r="F8" s="220">
        <v>80000</v>
      </c>
      <c r="G8" s="221">
        <f>F8*2.87%</f>
        <v>2296</v>
      </c>
      <c r="H8" s="221">
        <f>+F8*3.04%</f>
        <v>2432</v>
      </c>
      <c r="I8" s="221">
        <v>0</v>
      </c>
      <c r="J8" s="220">
        <f>+G8+H8+I8</f>
        <v>4728</v>
      </c>
      <c r="K8" s="220">
        <f>+F8-J8</f>
        <v>75272</v>
      </c>
      <c r="L8" s="69">
        <f t="shared" ref="L8" si="0">+IF(K8*12&lt;=416220.01,0,IF(K8*12&lt;=624329.01,(((K8*12-416220.01)*0.15)/12),IF((K8*12&lt;=867123.01),(31216+0.2*(K8*12-624329.01))/12,((79776+0.25*(K8*12-867123.01))/12))))</f>
        <v>7400.9372916666662</v>
      </c>
      <c r="M8" s="220"/>
      <c r="N8" s="226">
        <v>25</v>
      </c>
      <c r="O8" s="220">
        <f>+N8+I8+H8+G8+L8</f>
        <v>12153.937291666665</v>
      </c>
      <c r="P8" s="222">
        <f>+F8-O8</f>
        <v>67846.062708333338</v>
      </c>
    </row>
    <row r="9" spans="1:16" s="246" customFormat="1" ht="35.1" customHeight="1" x14ac:dyDescent="0.2">
      <c r="A9" s="228" t="s">
        <v>100</v>
      </c>
      <c r="B9" s="229"/>
      <c r="C9" s="229"/>
      <c r="D9" s="229"/>
      <c r="E9" s="245"/>
      <c r="F9" s="230">
        <f t="shared" ref="F9:L9" si="1">SUM(F8:F8)</f>
        <v>80000</v>
      </c>
      <c r="G9" s="230">
        <f t="shared" si="1"/>
        <v>2296</v>
      </c>
      <c r="H9" s="230">
        <f t="shared" si="1"/>
        <v>2432</v>
      </c>
      <c r="I9" s="230">
        <f t="shared" si="1"/>
        <v>0</v>
      </c>
      <c r="J9" s="230">
        <f t="shared" si="1"/>
        <v>4728</v>
      </c>
      <c r="K9" s="230">
        <f t="shared" si="1"/>
        <v>75272</v>
      </c>
      <c r="L9" s="230">
        <f t="shared" si="1"/>
        <v>7400.9372916666662</v>
      </c>
      <c r="M9" s="230"/>
      <c r="N9" s="230">
        <f>SUM(N8:N8)</f>
        <v>25</v>
      </c>
      <c r="O9" s="230">
        <f>SUM(O8:O8)</f>
        <v>12153.937291666665</v>
      </c>
      <c r="P9" s="230">
        <f>SUM(P8:P8)</f>
        <v>67846.062708333338</v>
      </c>
    </row>
    <row r="10" spans="1:16" s="148" customFormat="1" ht="35.1" customHeight="1" x14ac:dyDescent="0.2">
      <c r="A10" s="283"/>
      <c r="B10" s="293"/>
      <c r="C10" s="294"/>
      <c r="D10" s="293"/>
      <c r="E10" s="293"/>
      <c r="G10" s="149"/>
      <c r="H10" s="149"/>
      <c r="I10" s="149"/>
      <c r="J10" s="149"/>
      <c r="K10" s="289"/>
      <c r="L10" s="149"/>
      <c r="M10" s="149"/>
      <c r="N10" s="149"/>
      <c r="O10" s="149"/>
      <c r="P10" s="149"/>
    </row>
    <row r="11" spans="1:16" s="148" customFormat="1" ht="35.1" customHeight="1" x14ac:dyDescent="0.2">
      <c r="A11" s="208"/>
      <c r="B11" s="147"/>
      <c r="C11" s="208"/>
      <c r="D11" s="147"/>
      <c r="E11" s="147"/>
      <c r="G11" s="149"/>
      <c r="H11" s="149"/>
      <c r="I11" s="149"/>
      <c r="J11" s="149"/>
      <c r="K11" s="149"/>
      <c r="L11" s="149"/>
      <c r="M11" s="149"/>
      <c r="N11" s="149"/>
      <c r="O11" s="149"/>
      <c r="P11" s="289"/>
    </row>
    <row r="12" spans="1:16" s="148" customFormat="1" ht="35.1" customHeight="1" thickBot="1" x14ac:dyDescent="0.25">
      <c r="A12" s="208"/>
      <c r="B12" s="333" t="s">
        <v>638</v>
      </c>
      <c r="C12" s="333"/>
      <c r="D12" s="120"/>
      <c r="E12" s="334"/>
      <c r="F12" s="334"/>
      <c r="G12" s="149"/>
      <c r="H12" s="149"/>
      <c r="I12" s="149"/>
      <c r="J12" s="149"/>
      <c r="K12" s="296"/>
      <c r="L12" s="149"/>
      <c r="M12" s="149"/>
      <c r="N12" s="149"/>
      <c r="O12" s="149"/>
      <c r="P12" s="149"/>
    </row>
    <row r="13" spans="1:16" s="148" customFormat="1" ht="35.1" customHeight="1" x14ac:dyDescent="0.2">
      <c r="A13" s="208"/>
      <c r="B13" s="335" t="s">
        <v>653</v>
      </c>
      <c r="C13" s="335"/>
      <c r="D13" s="120"/>
      <c r="E13" s="336"/>
      <c r="F13" s="336"/>
      <c r="G13" s="149"/>
      <c r="H13" s="149"/>
      <c r="I13" s="149"/>
      <c r="J13" s="149"/>
      <c r="K13" s="296"/>
      <c r="L13" s="149"/>
      <c r="M13" s="149"/>
      <c r="N13" s="149"/>
      <c r="O13" s="149"/>
      <c r="P13" s="149"/>
    </row>
    <row r="14" spans="1:16" s="148" customFormat="1" ht="35.1" customHeight="1" x14ac:dyDescent="0.2">
      <c r="A14" s="208"/>
      <c r="B14" s="147"/>
      <c r="C14" s="208"/>
      <c r="D14" s="147"/>
      <c r="E14" s="147"/>
      <c r="G14" s="149"/>
      <c r="H14" s="149"/>
      <c r="I14" s="149"/>
      <c r="J14" s="149"/>
      <c r="K14" s="296"/>
      <c r="L14" s="149"/>
      <c r="M14" s="149"/>
      <c r="N14" s="149"/>
      <c r="O14" s="149"/>
      <c r="P14" s="149"/>
    </row>
    <row r="15" spans="1:16" s="224" customFormat="1" ht="35.1" customHeight="1" x14ac:dyDescent="0.2">
      <c r="A15" s="208"/>
      <c r="B15" s="147"/>
      <c r="C15" s="208"/>
      <c r="D15" s="147"/>
      <c r="E15" s="147"/>
      <c r="F15" s="148"/>
      <c r="G15" s="149"/>
      <c r="H15" s="149"/>
      <c r="I15" s="149"/>
      <c r="J15" s="149"/>
      <c r="K15" s="296"/>
      <c r="L15" s="149"/>
      <c r="M15" s="149"/>
      <c r="N15" s="149"/>
      <c r="O15" s="149"/>
      <c r="P15" s="149"/>
    </row>
    <row r="16" spans="1:16" s="148" customFormat="1" ht="35.1" customHeight="1" x14ac:dyDescent="0.2">
      <c r="A16" s="208"/>
      <c r="B16" s="147"/>
      <c r="C16" s="208"/>
      <c r="D16" s="147"/>
      <c r="E16" s="147"/>
      <c r="G16" s="149"/>
      <c r="H16" s="149"/>
      <c r="I16" s="149"/>
      <c r="J16" s="149"/>
      <c r="K16" s="296"/>
      <c r="L16" s="149"/>
      <c r="M16" s="149"/>
      <c r="N16" s="149"/>
      <c r="O16" s="149"/>
      <c r="P16" s="149"/>
    </row>
    <row r="17" spans="1:16" s="148" customFormat="1" ht="35.1" customHeight="1" x14ac:dyDescent="0.2">
      <c r="A17" s="208"/>
      <c r="B17" s="147"/>
      <c r="C17" s="208"/>
      <c r="D17" s="147"/>
      <c r="E17" s="147"/>
      <c r="G17" s="149"/>
      <c r="H17" s="149"/>
      <c r="I17" s="149"/>
      <c r="J17" s="149"/>
      <c r="K17" s="296"/>
      <c r="L17" s="149"/>
      <c r="M17" s="149"/>
      <c r="N17" s="149"/>
      <c r="O17" s="149"/>
      <c r="P17" s="149"/>
    </row>
    <row r="18" spans="1:16" s="148" customFormat="1" ht="35.1" customHeight="1" x14ac:dyDescent="0.2">
      <c r="A18" s="208"/>
      <c r="B18" s="147"/>
      <c r="C18" s="208"/>
      <c r="D18" s="147"/>
      <c r="E18" s="147"/>
      <c r="G18" s="149"/>
      <c r="H18" s="149"/>
      <c r="I18" s="149"/>
      <c r="J18" s="149"/>
      <c r="K18" s="296"/>
      <c r="L18" s="149"/>
      <c r="M18" s="149"/>
      <c r="N18" s="149"/>
      <c r="O18" s="149"/>
      <c r="P18" s="149"/>
    </row>
    <row r="19" spans="1:16" s="148" customFormat="1" ht="35.1" customHeight="1" x14ac:dyDescent="0.2">
      <c r="A19" s="208"/>
      <c r="B19" s="147"/>
      <c r="C19" s="208"/>
      <c r="D19" s="147"/>
      <c r="E19" s="147"/>
      <c r="G19" s="149"/>
      <c r="H19" s="149"/>
      <c r="I19" s="149"/>
      <c r="J19" s="149"/>
      <c r="K19" s="149"/>
      <c r="L19" s="149"/>
      <c r="M19" s="149"/>
      <c r="N19" s="149"/>
      <c r="O19" s="149"/>
      <c r="P19" s="149"/>
    </row>
    <row r="20" spans="1:16" s="223" customFormat="1" ht="35.1" customHeight="1" x14ac:dyDescent="0.2">
      <c r="A20" s="208"/>
      <c r="B20" s="147"/>
      <c r="C20" s="208"/>
      <c r="D20" s="147"/>
      <c r="E20" s="147"/>
      <c r="F20" s="148"/>
      <c r="G20" s="149"/>
      <c r="H20" s="149"/>
      <c r="I20" s="149"/>
      <c r="J20" s="149"/>
      <c r="K20" s="149"/>
      <c r="L20" s="149"/>
      <c r="M20" s="149"/>
      <c r="N20" s="149"/>
      <c r="O20" s="149"/>
      <c r="P20" s="149"/>
    </row>
    <row r="21" spans="1:16" s="223" customFormat="1" ht="35.1" customHeight="1" x14ac:dyDescent="0.2">
      <c r="A21" s="208"/>
      <c r="B21" s="147"/>
      <c r="C21" s="208"/>
      <c r="D21" s="147"/>
      <c r="E21" s="147"/>
      <c r="F21" s="148"/>
      <c r="G21" s="149"/>
      <c r="H21" s="149"/>
      <c r="I21" s="149"/>
      <c r="J21" s="149"/>
      <c r="K21" s="149"/>
      <c r="L21" s="149"/>
      <c r="M21" s="149"/>
      <c r="N21" s="149"/>
      <c r="O21" s="149"/>
      <c r="P21" s="149"/>
    </row>
    <row r="16524" spans="2:16" s="113" customFormat="1" ht="35.1" customHeight="1" x14ac:dyDescent="0.2">
      <c r="B16524" s="144">
        <f>SUM(B6:B16523)</f>
        <v>0</v>
      </c>
      <c r="D16524" s="144"/>
      <c r="E16524" s="144"/>
      <c r="F16524" s="111"/>
      <c r="G16524" s="110"/>
      <c r="H16524" s="110"/>
      <c r="I16524" s="110"/>
      <c r="J16524" s="110"/>
      <c r="K16524" s="110"/>
      <c r="L16524" s="110"/>
      <c r="M16524" s="110"/>
      <c r="N16524" s="110"/>
      <c r="O16524" s="110"/>
      <c r="P16524" s="110"/>
    </row>
    <row r="16526" spans="2:16" s="113" customFormat="1" ht="35.1" customHeight="1" x14ac:dyDescent="0.2">
      <c r="B16526" s="144">
        <f>SUM(B16524)</f>
        <v>0</v>
      </c>
    </row>
    <row r="999849" spans="15:15" ht="35.1" customHeight="1" x14ac:dyDescent="0.2">
      <c r="O999849" s="123" t="e">
        <f>SUM(#REF!)</f>
        <v>#REF!</v>
      </c>
    </row>
  </sheetData>
  <mergeCells count="8">
    <mergeCell ref="B12:C12"/>
    <mergeCell ref="E12:F12"/>
    <mergeCell ref="B13:C13"/>
    <mergeCell ref="E13:F13"/>
    <mergeCell ref="A1:P1"/>
    <mergeCell ref="A2:P2"/>
    <mergeCell ref="A3:P3"/>
    <mergeCell ref="G5:J5"/>
  </mergeCells>
  <pageMargins left="0.23622047244094488" right="0.23622047244094488" top="0.31" bottom="0.25" header="0.31496062992125984" footer="0.26"/>
  <pageSetup paperSize="5" scale="50" fitToHeight="0" orientation="landscape" r:id="rId1"/>
  <rowBreaks count="1" manualBreakCount="1">
    <brk id="21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6b0d22-0a16-4c1a-9b76-95dfb845d415">
      <Terms xmlns="http://schemas.microsoft.com/office/infopath/2007/PartnerControls"/>
    </lcf76f155ced4ddcb4097134ff3c332f>
    <TaxCatchAll xmlns="d39205a1-5442-419a-b1e5-b39410ee3123" xsi:nil="true"/>
    <SharedWithUsers xmlns="d39205a1-5442-419a-b1e5-b39410ee3123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44F8717C9ACB448C12FDEBB3161D79" ma:contentTypeVersion="18" ma:contentTypeDescription="Crear nuevo documento." ma:contentTypeScope="" ma:versionID="24b5ef13027a8be44020835238ab6d65">
  <xsd:schema xmlns:xsd="http://www.w3.org/2001/XMLSchema" xmlns:xs="http://www.w3.org/2001/XMLSchema" xmlns:p="http://schemas.microsoft.com/office/2006/metadata/properties" xmlns:ns2="bb6b0d22-0a16-4c1a-9b76-95dfb845d415" xmlns:ns3="d39205a1-5442-419a-b1e5-b39410ee3123" targetNamespace="http://schemas.microsoft.com/office/2006/metadata/properties" ma:root="true" ma:fieldsID="05b62efcbc66087791e885b765da1f81" ns2:_="" ns3:_="">
    <xsd:import namespace="bb6b0d22-0a16-4c1a-9b76-95dfb845d415"/>
    <xsd:import namespace="d39205a1-5442-419a-b1e5-b39410ee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b0d22-0a16-4c1a-9b76-95dfb845d4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205a1-5442-419a-b1e5-b39410ee312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40e8d0-a452-42f7-af61-164b7a316f91}" ma:internalName="TaxCatchAll" ma:showField="CatchAllData" ma:web="d39205a1-5442-419a-b1e5-b39410ee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1DCC4A-8C20-4156-9075-D257B105D1EB}">
  <ds:schemaRefs>
    <ds:schemaRef ds:uri="http://purl.org/dc/terms/"/>
    <ds:schemaRef ds:uri="http://purl.org/dc/elements/1.1/"/>
    <ds:schemaRef ds:uri="http://schemas.microsoft.com/office/2006/metadata/properties"/>
    <ds:schemaRef ds:uri="d39205a1-5442-419a-b1e5-b39410ee3123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b6b0d22-0a16-4c1a-9b76-95dfb845d415"/>
  </ds:schemaRefs>
</ds:datastoreItem>
</file>

<file path=customXml/itemProps2.xml><?xml version="1.0" encoding="utf-8"?>
<ds:datastoreItem xmlns:ds="http://schemas.openxmlformats.org/officeDocument/2006/customXml" ds:itemID="{2B53B7AF-8626-4907-87F5-4A70941566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629463-7445-4455-9094-93FE137367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b0d22-0a16-4c1a-9b76-95dfb845d415"/>
    <ds:schemaRef ds:uri="d39205a1-5442-419a-b1e5-b39410ee31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</vt:i4>
      </vt:variant>
    </vt:vector>
  </HeadingPairs>
  <TitlesOfParts>
    <vt:vector size="14" baseType="lpstr">
      <vt:lpstr>NOMINA FIJOS </vt:lpstr>
      <vt:lpstr>SUPLENCIA FIJOS</vt:lpstr>
      <vt:lpstr>PERSONAL TEMPORAL</vt:lpstr>
      <vt:lpstr>TRAMITE PENSION </vt:lpstr>
      <vt:lpstr>PROBATORIO</vt:lpstr>
      <vt:lpstr>'NOMINA FIJOS '!Área_de_impresión</vt:lpstr>
      <vt:lpstr>'PERSONAL TEMPORAL'!Área_de_impresión</vt:lpstr>
      <vt:lpstr>PROBATORIO!Área_de_impresión</vt:lpstr>
      <vt:lpstr>'SUPLENCIA FIJOS'!Área_de_impresión</vt:lpstr>
      <vt:lpstr>'TRAMITE PENSION '!Área_de_impresión</vt:lpstr>
      <vt:lpstr>'NOMINA FIJOS '!Títulos_a_imprimir</vt:lpstr>
      <vt:lpstr>'PERSONAL TEMPORAL'!Títulos_a_imprimir</vt:lpstr>
      <vt:lpstr>PROBATORIO!Títulos_a_imprimir</vt:lpstr>
      <vt:lpstr>'SUPLENCIA FIJOS'!Títulos_a_imprimir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A. Grullon A.</dc:creator>
  <cp:lastModifiedBy>Pablo J. Páez Solano</cp:lastModifiedBy>
  <cp:lastPrinted>2026-04-10T19:23:03Z</cp:lastPrinted>
  <dcterms:created xsi:type="dcterms:W3CDTF">2019-01-11T19:06:47Z</dcterms:created>
  <dcterms:modified xsi:type="dcterms:W3CDTF">2026-04-14T17:39:49Z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0x0101003544F8717C9ACB448C12FDEBB3161D79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11609700</vt:r8>
  </property>
</Properties>
</file>