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gprd.sharepoint.com/sites/RRHH/Shared Documents/General/Registro-Control y Nomina/NOMINA II/NOMINA/NOMINAS PARA PORTAL INSTITUCIONAL/PORTAL 2026/JUNIO 2026 - PORTAL/"/>
    </mc:Choice>
  </mc:AlternateContent>
  <xr:revisionPtr revIDLastSave="446" documentId="8_{0FF40B5C-66E7-4384-8F41-8B093D85E17E}" xr6:coauthVersionLast="47" xr6:coauthVersionMax="47" xr10:uidLastSave="{BB398E6F-7EF3-4197-A27E-8CE8D90D33A8}"/>
  <bookViews>
    <workbookView xWindow="-120" yWindow="-120" windowWidth="29040" windowHeight="15720" tabRatio="603" activeTab="1" xr2:uid="{00000000-000D-0000-FFFF-FFFF00000000}"/>
  </bookViews>
  <sheets>
    <sheet name="NOMINA FIJOS " sheetId="4" r:id="rId1"/>
    <sheet name="PERSONAL TEMPORAL" sheetId="13" r:id="rId2"/>
    <sheet name="SUPLENCIA FIJOS" sheetId="16" r:id="rId3"/>
    <sheet name="TRAMITE PENSION " sheetId="14" r:id="rId4"/>
    <sheet name="PROBATORIO" sheetId="17" r:id="rId5"/>
  </sheets>
  <definedNames>
    <definedName name="_xlnm.Print_Area" localSheetId="0">'NOMINA FIJOS '!$A$1:$O$354</definedName>
    <definedName name="_xlnm.Print_Area" localSheetId="1">'PERSONAL TEMPORAL'!$A$1:$R$283</definedName>
    <definedName name="_xlnm.Print_Area" localSheetId="4">PROBATORIO!$A$1:$P$21</definedName>
    <definedName name="_xlnm.Print_Area" localSheetId="2">'SUPLENCIA FIJOS'!$B$1:$L$128</definedName>
    <definedName name="_xlnm.Print_Area" localSheetId="3">'TRAMITE PENSION '!$A$1:$O$30</definedName>
    <definedName name="_xlnm.Print_Titles" localSheetId="0">'NOMINA FIJOS '!$1:$6</definedName>
    <definedName name="_xlnm.Print_Titles" localSheetId="1">'PERSONAL TEMPORAL'!$1:$7</definedName>
    <definedName name="_xlnm.Print_Titles" localSheetId="4">PROBATORIO!$1:$6</definedName>
    <definedName name="_xlnm.Print_Titles" localSheetId="2">'SUPLENCIA FIJOS'!$1:$6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1" i="16" l="1"/>
  <c r="G13" i="16"/>
  <c r="G9" i="16"/>
  <c r="G110" i="16"/>
  <c r="G115" i="16"/>
  <c r="G119" i="16"/>
  <c r="J114" i="16"/>
  <c r="K114" i="16" s="1"/>
  <c r="L114" i="16" s="1"/>
  <c r="K37" i="16"/>
  <c r="L37" i="16"/>
  <c r="A138" i="13" l="1"/>
  <c r="A134" i="13"/>
  <c r="K38" i="16"/>
  <c r="K113" i="16" l="1"/>
  <c r="L113" i="16" s="1"/>
  <c r="O171" i="13"/>
  <c r="H171" i="13"/>
  <c r="K171" i="13"/>
  <c r="P171" i="13"/>
  <c r="J169" i="13"/>
  <c r="I169" i="13"/>
  <c r="K141" i="13"/>
  <c r="P141" i="13"/>
  <c r="H141" i="13"/>
  <c r="I138" i="13"/>
  <c r="J138" i="13"/>
  <c r="L138" i="13" s="1"/>
  <c r="L15" i="14"/>
  <c r="L8" i="14"/>
  <c r="L10" i="14"/>
  <c r="L11" i="14"/>
  <c r="L12" i="14"/>
  <c r="L13" i="14"/>
  <c r="L16" i="14"/>
  <c r="L17" i="14"/>
  <c r="L18" i="14"/>
  <c r="L19" i="14"/>
  <c r="L20" i="14"/>
  <c r="H184" i="13"/>
  <c r="K184" i="13"/>
  <c r="O184" i="13"/>
  <c r="P184" i="13"/>
  <c r="J178" i="13"/>
  <c r="I178" i="13"/>
  <c r="K88" i="13"/>
  <c r="O88" i="13"/>
  <c r="P88" i="13"/>
  <c r="H88" i="13"/>
  <c r="J87" i="13"/>
  <c r="I87" i="13"/>
  <c r="I313" i="4"/>
  <c r="L169" i="13" l="1"/>
  <c r="M169" i="13"/>
  <c r="Q138" i="13"/>
  <c r="R138" i="13" s="1"/>
  <c r="M138" i="13"/>
  <c r="L178" i="13"/>
  <c r="M178" i="13" s="1"/>
  <c r="L87" i="13"/>
  <c r="M87" i="13" s="1"/>
  <c r="N169" i="13" l="1"/>
  <c r="N178" i="13"/>
  <c r="Q169" i="13" l="1"/>
  <c r="R169" i="13" s="1"/>
  <c r="N171" i="13"/>
  <c r="Q178" i="13"/>
  <c r="R178" i="13" s="1"/>
  <c r="K118" i="16" l="1"/>
  <c r="K115" i="16"/>
  <c r="H115" i="16"/>
  <c r="I115" i="16"/>
  <c r="J115" i="16"/>
  <c r="K196" i="13"/>
  <c r="O196" i="13"/>
  <c r="P196" i="13"/>
  <c r="J194" i="13"/>
  <c r="J195" i="13"/>
  <c r="I194" i="13"/>
  <c r="I195" i="13"/>
  <c r="H196" i="13"/>
  <c r="K161" i="13"/>
  <c r="O161" i="13"/>
  <c r="P161" i="13"/>
  <c r="H161" i="13"/>
  <c r="I314" i="4"/>
  <c r="M314" i="4"/>
  <c r="F314" i="4"/>
  <c r="H317" i="4"/>
  <c r="G317" i="4"/>
  <c r="J317" i="4" s="1"/>
  <c r="K317" i="4" s="1"/>
  <c r="L317" i="4" s="1"/>
  <c r="H312" i="4"/>
  <c r="G312" i="4"/>
  <c r="I203" i="4"/>
  <c r="M83" i="4"/>
  <c r="F83" i="4"/>
  <c r="L194" i="13" l="1"/>
  <c r="M194" i="13" s="1"/>
  <c r="L195" i="13"/>
  <c r="M195" i="13" s="1"/>
  <c r="N195" i="13" s="1"/>
  <c r="Q195" i="13" s="1"/>
  <c r="R195" i="13" s="1"/>
  <c r="J312" i="4"/>
  <c r="N317" i="4"/>
  <c r="O317" i="4" s="1"/>
  <c r="Q194" i="13" l="1"/>
  <c r="R194" i="13" s="1"/>
  <c r="K312" i="4"/>
  <c r="L312" i="4" l="1"/>
  <c r="L314" i="4" l="1"/>
  <c r="N312" i="4"/>
  <c r="O312" i="4" s="1"/>
  <c r="O999849" i="17" l="1"/>
  <c r="B16524" i="17"/>
  <c r="B16526" i="17" s="1"/>
  <c r="N9" i="17"/>
  <c r="I9" i="17"/>
  <c r="F9" i="17"/>
  <c r="H8" i="17"/>
  <c r="H9" i="17" s="1"/>
  <c r="G8" i="17"/>
  <c r="J8" i="17" s="1"/>
  <c r="J9" i="17" s="1"/>
  <c r="G9" i="17" l="1"/>
  <c r="K8" i="17"/>
  <c r="L8" i="17" l="1"/>
  <c r="K9" i="17"/>
  <c r="L9" i="17" l="1"/>
  <c r="O8" i="17"/>
  <c r="P8" i="17" l="1"/>
  <c r="P9" i="17" s="1"/>
  <c r="O9" i="17"/>
  <c r="A281" i="4" l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F271" i="4"/>
  <c r="K65" i="16" l="1"/>
  <c r="I57" i="16"/>
  <c r="H57" i="16"/>
  <c r="O215" i="13"/>
  <c r="H215" i="13"/>
  <c r="J193" i="13"/>
  <c r="I193" i="13"/>
  <c r="F279" i="4"/>
  <c r="I279" i="4"/>
  <c r="M279" i="4"/>
  <c r="H278" i="4"/>
  <c r="G278" i="4"/>
  <c r="J278" i="4" l="1"/>
  <c r="K278" i="4" s="1"/>
  <c r="K57" i="16"/>
  <c r="L57" i="16" s="1"/>
  <c r="N278" i="4"/>
  <c r="O278" i="4" s="1"/>
  <c r="L193" i="13"/>
  <c r="M193" i="13" s="1"/>
  <c r="N193" i="13" s="1"/>
  <c r="Q193" i="13" s="1"/>
  <c r="R193" i="13" s="1"/>
  <c r="F21" i="14" l="1"/>
  <c r="M21" i="14"/>
  <c r="G12" i="14"/>
  <c r="H12" i="14"/>
  <c r="G19" i="14"/>
  <c r="H19" i="14"/>
  <c r="I87" i="16"/>
  <c r="H87" i="16"/>
  <c r="K87" i="16" s="1"/>
  <c r="O11" i="13"/>
  <c r="O20" i="13"/>
  <c r="O26" i="13"/>
  <c r="O35" i="13"/>
  <c r="O45" i="13"/>
  <c r="O49" i="13"/>
  <c r="O53" i="13"/>
  <c r="O58" i="13"/>
  <c r="O62" i="13"/>
  <c r="O66" i="13"/>
  <c r="O70" i="13"/>
  <c r="O74" i="13"/>
  <c r="O81" i="13"/>
  <c r="O93" i="13"/>
  <c r="O97" i="13"/>
  <c r="O101" i="13"/>
  <c r="O108" i="13"/>
  <c r="O112" i="13"/>
  <c r="O115" i="13"/>
  <c r="O120" i="13"/>
  <c r="O123" i="13"/>
  <c r="O129" i="13"/>
  <c r="O135" i="13"/>
  <c r="O141" i="13"/>
  <c r="O146" i="13"/>
  <c r="O150" i="13"/>
  <c r="O156" i="13"/>
  <c r="O166" i="13"/>
  <c r="O175" i="13"/>
  <c r="O188" i="13"/>
  <c r="O201" i="13"/>
  <c r="O205" i="13"/>
  <c r="O221" i="13"/>
  <c r="O227" i="13"/>
  <c r="O232" i="13"/>
  <c r="O236" i="13"/>
  <c r="O240" i="13"/>
  <c r="O244" i="13"/>
  <c r="O248" i="13"/>
  <c r="O251" i="13"/>
  <c r="O256" i="13"/>
  <c r="O260" i="13"/>
  <c r="O264" i="13"/>
  <c r="O273" i="13"/>
  <c r="I183" i="13"/>
  <c r="J183" i="13"/>
  <c r="J119" i="13"/>
  <c r="I119" i="13"/>
  <c r="K120" i="13"/>
  <c r="P120" i="13"/>
  <c r="H120" i="13"/>
  <c r="H112" i="13"/>
  <c r="K112" i="13"/>
  <c r="P112" i="13"/>
  <c r="J111" i="13"/>
  <c r="I111" i="13"/>
  <c r="H35" i="13"/>
  <c r="P35" i="13"/>
  <c r="I34" i="13"/>
  <c r="J34" i="13"/>
  <c r="M271" i="4"/>
  <c r="G243" i="4"/>
  <c r="H243" i="4"/>
  <c r="A209" i="4"/>
  <c r="A11" i="4"/>
  <c r="J243" i="4" l="1"/>
  <c r="K243" i="4" s="1"/>
  <c r="J12" i="14"/>
  <c r="K12" i="14" s="1"/>
  <c r="N12" i="14" s="1"/>
  <c r="O12" i="14" s="1"/>
  <c r="J19" i="14"/>
  <c r="L183" i="13"/>
  <c r="L111" i="13"/>
  <c r="M111" i="13" s="1"/>
  <c r="N111" i="13" s="1"/>
  <c r="Q111" i="13" s="1"/>
  <c r="R111" i="13" s="1"/>
  <c r="L119" i="13"/>
  <c r="M119" i="13" s="1"/>
  <c r="N119" i="13" s="1"/>
  <c r="Q119" i="13" s="1"/>
  <c r="L34" i="13"/>
  <c r="M101" i="4"/>
  <c r="G100" i="4"/>
  <c r="F101" i="4"/>
  <c r="H100" i="4"/>
  <c r="I77" i="4"/>
  <c r="M77" i="4"/>
  <c r="F77" i="4"/>
  <c r="H76" i="4"/>
  <c r="G76" i="4"/>
  <c r="I39" i="4"/>
  <c r="M39" i="4"/>
  <c r="F39" i="4"/>
  <c r="H38" i="4"/>
  <c r="G38" i="4"/>
  <c r="I14" i="14"/>
  <c r="I21" i="14" s="1"/>
  <c r="K219" i="13"/>
  <c r="K211" i="13"/>
  <c r="K215" i="13" s="1"/>
  <c r="K144" i="13"/>
  <c r="K65" i="13"/>
  <c r="P45" i="13"/>
  <c r="K30" i="13"/>
  <c r="K35" i="13" s="1"/>
  <c r="I308" i="4"/>
  <c r="I247" i="4"/>
  <c r="I271" i="4" s="1"/>
  <c r="I137" i="4"/>
  <c r="I125" i="4"/>
  <c r="I80" i="4"/>
  <c r="I83" i="4" s="1"/>
  <c r="I65" i="4"/>
  <c r="I63" i="4"/>
  <c r="I57" i="4"/>
  <c r="L243" i="4" l="1"/>
  <c r="N243" i="4" s="1"/>
  <c r="O243" i="4" s="1"/>
  <c r="J38" i="4"/>
  <c r="K38" i="4" s="1"/>
  <c r="N38" i="4" s="1"/>
  <c r="O38" i="4" s="1"/>
  <c r="K19" i="14"/>
  <c r="M183" i="13"/>
  <c r="R119" i="13"/>
  <c r="M34" i="13"/>
  <c r="N34" i="13" s="1"/>
  <c r="J100" i="4"/>
  <c r="K100" i="4" s="1"/>
  <c r="J76" i="4"/>
  <c r="K76" i="4" s="1"/>
  <c r="H45" i="13"/>
  <c r="L76" i="4" l="1"/>
  <c r="N76" i="4" s="1"/>
  <c r="O76" i="4" s="1"/>
  <c r="N19" i="14"/>
  <c r="O19" i="14" s="1"/>
  <c r="Q183" i="13"/>
  <c r="Q34" i="13"/>
  <c r="R34" i="13" s="1"/>
  <c r="N100" i="4"/>
  <c r="O100" i="4" s="1"/>
  <c r="H205" i="13"/>
  <c r="K205" i="13"/>
  <c r="P205" i="13"/>
  <c r="K256" i="13"/>
  <c r="P256" i="13"/>
  <c r="H256" i="13"/>
  <c r="K248" i="13"/>
  <c r="P248" i="13"/>
  <c r="H248" i="13"/>
  <c r="I247" i="13"/>
  <c r="J247" i="13"/>
  <c r="P227" i="13"/>
  <c r="K227" i="13"/>
  <c r="H227" i="13"/>
  <c r="P212" i="13"/>
  <c r="P211" i="13"/>
  <c r="P208" i="13"/>
  <c r="P215" i="13" s="1"/>
  <c r="P105" i="13"/>
  <c r="P96" i="13"/>
  <c r="P52" i="13"/>
  <c r="I44" i="13"/>
  <c r="J44" i="13"/>
  <c r="K45" i="13"/>
  <c r="P17" i="13"/>
  <c r="R183" i="13" l="1"/>
  <c r="L247" i="13"/>
  <c r="M247" i="13" s="1"/>
  <c r="Q247" i="13" s="1"/>
  <c r="R247" i="13" s="1"/>
  <c r="L44" i="13"/>
  <c r="M44" i="13" s="1"/>
  <c r="N44" i="13" s="1"/>
  <c r="Q44" i="13" l="1"/>
  <c r="R44" i="13" s="1"/>
  <c r="L41" i="4" l="1"/>
  <c r="I305" i="4"/>
  <c r="M305" i="4"/>
  <c r="F305" i="4"/>
  <c r="G88" i="16" l="1"/>
  <c r="A230" i="13"/>
  <c r="A13" i="4"/>
  <c r="A14" i="4" s="1"/>
  <c r="A15" i="4" s="1"/>
  <c r="A16" i="4" s="1"/>
  <c r="F17" i="4"/>
  <c r="J110" i="16" l="1"/>
  <c r="I109" i="16"/>
  <c r="I110" i="16" s="1"/>
  <c r="H109" i="16"/>
  <c r="H110" i="16" s="1"/>
  <c r="I213" i="13"/>
  <c r="J213" i="13"/>
  <c r="P135" i="13"/>
  <c r="K135" i="13"/>
  <c r="H135" i="13"/>
  <c r="J134" i="13"/>
  <c r="I134" i="13"/>
  <c r="J133" i="13"/>
  <c r="I133" i="13"/>
  <c r="I10" i="13"/>
  <c r="J10" i="13"/>
  <c r="G303" i="4"/>
  <c r="H303" i="4"/>
  <c r="H205" i="4"/>
  <c r="G205" i="4"/>
  <c r="I206" i="4"/>
  <c r="M206" i="4"/>
  <c r="F206" i="4"/>
  <c r="H14" i="14"/>
  <c r="G14" i="14"/>
  <c r="J14" i="14" l="1"/>
  <c r="K14" i="14" s="1"/>
  <c r="N14" i="14" s="1"/>
  <c r="O14" i="14" s="1"/>
  <c r="L213" i="13"/>
  <c r="M213" i="13" s="1"/>
  <c r="K109" i="16"/>
  <c r="L109" i="16" s="1"/>
  <c r="L110" i="16" s="1"/>
  <c r="I135" i="13"/>
  <c r="L134" i="13"/>
  <c r="M134" i="13" s="1"/>
  <c r="Q134" i="13" s="1"/>
  <c r="R134" i="13" s="1"/>
  <c r="J135" i="13"/>
  <c r="L133" i="13"/>
  <c r="M133" i="13" s="1"/>
  <c r="Q133" i="13" s="1"/>
  <c r="R133" i="13" s="1"/>
  <c r="J205" i="4"/>
  <c r="K205" i="4" s="1"/>
  <c r="L205" i="4" s="1"/>
  <c r="J303" i="4"/>
  <c r="N213" i="13" l="1"/>
  <c r="Q213" i="13" s="1"/>
  <c r="R213" i="13" s="1"/>
  <c r="N205" i="4"/>
  <c r="O205" i="4" s="1"/>
  <c r="K110" i="16"/>
  <c r="L135" i="13"/>
  <c r="M135" i="13"/>
  <c r="K303" i="4"/>
  <c r="L303" i="4" s="1"/>
  <c r="N135" i="13" l="1"/>
  <c r="Q135" i="13" l="1"/>
  <c r="R135" i="13"/>
  <c r="N303" i="4"/>
  <c r="O303" i="4" s="1"/>
  <c r="I73" i="16" l="1"/>
  <c r="H73" i="16"/>
  <c r="K53" i="13"/>
  <c r="P53" i="13"/>
  <c r="H53" i="13"/>
  <c r="K81" i="13"/>
  <c r="P81" i="13"/>
  <c r="H81" i="13"/>
  <c r="G270" i="4"/>
  <c r="H270" i="4"/>
  <c r="I17" i="4"/>
  <c r="M17" i="4"/>
  <c r="G15" i="4"/>
  <c r="H16" i="4"/>
  <c r="H15" i="4"/>
  <c r="G16" i="4"/>
  <c r="J15" i="4" l="1"/>
  <c r="K15" i="4" s="1"/>
  <c r="J16" i="4"/>
  <c r="K16" i="4" s="1"/>
  <c r="K73" i="16"/>
  <c r="J270" i="4"/>
  <c r="N16" i="4" l="1"/>
  <c r="O16" i="4" s="1"/>
  <c r="N15" i="4"/>
  <c r="O15" i="4" s="1"/>
  <c r="K270" i="4"/>
  <c r="L270" i="4" l="1"/>
  <c r="N270" i="4" s="1"/>
  <c r="O270" i="4" s="1"/>
  <c r="I85" i="13" l="1"/>
  <c r="J85" i="13"/>
  <c r="I86" i="13"/>
  <c r="J86" i="13"/>
  <c r="I43" i="13"/>
  <c r="J43" i="13"/>
  <c r="I42" i="13"/>
  <c r="J42" i="13"/>
  <c r="G302" i="4"/>
  <c r="H302" i="4"/>
  <c r="G301" i="4"/>
  <c r="H301" i="4"/>
  <c r="G269" i="4"/>
  <c r="H269" i="4"/>
  <c r="L43" i="13" l="1"/>
  <c r="M43" i="13" s="1"/>
  <c r="L42" i="13"/>
  <c r="J302" i="4"/>
  <c r="J301" i="4"/>
  <c r="J269" i="4"/>
  <c r="N43" i="13" l="1"/>
  <c r="Q43" i="13" s="1"/>
  <c r="R43" i="13" s="1"/>
  <c r="M42" i="13"/>
  <c r="K302" i="4"/>
  <c r="L302" i="4" s="1"/>
  <c r="K301" i="4"/>
  <c r="L301" i="4" s="1"/>
  <c r="K269" i="4"/>
  <c r="L269" i="4" l="1"/>
  <c r="N269" i="4" s="1"/>
  <c r="O269" i="4" s="1"/>
  <c r="Q42" i="13"/>
  <c r="N302" i="4"/>
  <c r="O302" i="4" s="1"/>
  <c r="N301" i="4"/>
  <c r="O301" i="4" s="1"/>
  <c r="R42" i="13" l="1"/>
  <c r="G13" i="14"/>
  <c r="H13" i="14"/>
  <c r="I88" i="16"/>
  <c r="H88" i="16"/>
  <c r="J88" i="16"/>
  <c r="I31" i="16"/>
  <c r="I33" i="16" s="1"/>
  <c r="H31" i="16"/>
  <c r="H33" i="16" s="1"/>
  <c r="K32" i="16"/>
  <c r="G33" i="16"/>
  <c r="J33" i="16"/>
  <c r="P232" i="13"/>
  <c r="K232" i="13"/>
  <c r="H232" i="13"/>
  <c r="J225" i="13"/>
  <c r="I225" i="13"/>
  <c r="J204" i="13"/>
  <c r="J205" i="13" s="1"/>
  <c r="I204" i="13"/>
  <c r="I205" i="13" s="1"/>
  <c r="I255" i="13"/>
  <c r="K108" i="13"/>
  <c r="P108" i="13"/>
  <c r="H108" i="13"/>
  <c r="J107" i="13"/>
  <c r="I107" i="13"/>
  <c r="P74" i="13"/>
  <c r="H74" i="13"/>
  <c r="K74" i="13"/>
  <c r="L225" i="13" l="1"/>
  <c r="J13" i="14"/>
  <c r="K31" i="16"/>
  <c r="L31" i="16" s="1"/>
  <c r="L107" i="13"/>
  <c r="M107" i="13" s="1"/>
  <c r="N107" i="13" s="1"/>
  <c r="Q107" i="13" s="1"/>
  <c r="R107" i="13" s="1"/>
  <c r="L204" i="13"/>
  <c r="L205" i="13" s="1"/>
  <c r="F138" i="4"/>
  <c r="M113" i="4"/>
  <c r="I113" i="4"/>
  <c r="F113" i="4"/>
  <c r="H112" i="4"/>
  <c r="G112" i="4"/>
  <c r="M225" i="13" l="1"/>
  <c r="K13" i="14"/>
  <c r="K33" i="16"/>
  <c r="M204" i="13"/>
  <c r="M205" i="13" s="1"/>
  <c r="J112" i="4"/>
  <c r="K112" i="4" s="1"/>
  <c r="L112" i="4" s="1"/>
  <c r="N112" i="4" l="1"/>
  <c r="O112" i="4" s="1"/>
  <c r="Q225" i="13"/>
  <c r="N13" i="14"/>
  <c r="O13" i="14" s="1"/>
  <c r="N205" i="13"/>
  <c r="R225" i="13" l="1"/>
  <c r="Q204" i="13"/>
  <c r="Q205" i="13" s="1"/>
  <c r="R204" i="13" l="1"/>
  <c r="R205" i="13" s="1"/>
  <c r="I160" i="13" l="1"/>
  <c r="J160" i="13"/>
  <c r="K115" i="13"/>
  <c r="P115" i="13"/>
  <c r="H115" i="13"/>
  <c r="K97" i="13"/>
  <c r="P97" i="13"/>
  <c r="H97" i="13"/>
  <c r="K66" i="13"/>
  <c r="P66" i="13"/>
  <c r="H66" i="13"/>
  <c r="P70" i="13"/>
  <c r="K70" i="13"/>
  <c r="H70" i="13"/>
  <c r="J69" i="13"/>
  <c r="I69" i="13"/>
  <c r="J96" i="13"/>
  <c r="I96" i="13"/>
  <c r="I200" i="13"/>
  <c r="I138" i="4"/>
  <c r="M138" i="4"/>
  <c r="I131" i="4"/>
  <c r="M131" i="4"/>
  <c r="F131" i="4"/>
  <c r="I126" i="4"/>
  <c r="M126" i="4"/>
  <c r="F126" i="4"/>
  <c r="F119" i="4"/>
  <c r="I101" i="4"/>
  <c r="I66" i="4"/>
  <c r="M66" i="4"/>
  <c r="F66" i="4"/>
  <c r="I46" i="4"/>
  <c r="M46" i="4"/>
  <c r="F46" i="4"/>
  <c r="M147" i="4"/>
  <c r="I147" i="4"/>
  <c r="F147" i="4"/>
  <c r="L31" i="4"/>
  <c r="G32" i="4"/>
  <c r="H32" i="4"/>
  <c r="I32" i="4"/>
  <c r="J32" i="4"/>
  <c r="K32" i="4"/>
  <c r="M32" i="4"/>
  <c r="F32" i="4"/>
  <c r="L160" i="13" l="1"/>
  <c r="M160" i="13" s="1"/>
  <c r="Q160" i="13" s="1"/>
  <c r="R160" i="13" s="1"/>
  <c r="L32" i="4"/>
  <c r="N31" i="4"/>
  <c r="O31" i="4" s="1"/>
  <c r="O32" i="4" s="1"/>
  <c r="L69" i="13"/>
  <c r="I70" i="13"/>
  <c r="J70" i="13"/>
  <c r="L96" i="13"/>
  <c r="M69" i="13" l="1"/>
  <c r="M96" i="13"/>
  <c r="L70" i="13"/>
  <c r="N69" i="13" l="1"/>
  <c r="Q69" i="13" s="1"/>
  <c r="R69" i="13" s="1"/>
  <c r="R70" i="13" s="1"/>
  <c r="M70" i="13"/>
  <c r="N96" i="13"/>
  <c r="N97" i="13" s="1"/>
  <c r="N70" i="13" l="1"/>
  <c r="Q96" i="13"/>
  <c r="Q70" i="13" l="1"/>
  <c r="R96" i="13"/>
  <c r="H49" i="13" l="1"/>
  <c r="H26" i="13"/>
  <c r="H20" i="13"/>
  <c r="H175" i="13"/>
  <c r="K175" i="13"/>
  <c r="P175" i="13"/>
  <c r="K93" i="13"/>
  <c r="P93" i="13"/>
  <c r="H93" i="13"/>
  <c r="I80" i="13"/>
  <c r="J80" i="13"/>
  <c r="K58" i="13"/>
  <c r="P58" i="13"/>
  <c r="H58" i="13"/>
  <c r="I57" i="13"/>
  <c r="J57" i="13"/>
  <c r="P49" i="13"/>
  <c r="K49" i="13"/>
  <c r="J48" i="13"/>
  <c r="J49" i="13" s="1"/>
  <c r="I48" i="13"/>
  <c r="I49" i="13" s="1"/>
  <c r="G300" i="4"/>
  <c r="H300" i="4"/>
  <c r="G268" i="4"/>
  <c r="H268" i="4"/>
  <c r="G267" i="4"/>
  <c r="H267" i="4"/>
  <c r="H185" i="4"/>
  <c r="G185" i="4"/>
  <c r="F24" i="4"/>
  <c r="J185" i="4" l="1"/>
  <c r="K185" i="4" s="1"/>
  <c r="L185" i="4" s="1"/>
  <c r="L57" i="13"/>
  <c r="M57" i="13" s="1"/>
  <c r="L80" i="13"/>
  <c r="M80" i="13" s="1"/>
  <c r="L48" i="13"/>
  <c r="J300" i="4"/>
  <c r="J268" i="4"/>
  <c r="J267" i="4"/>
  <c r="J42" i="16"/>
  <c r="G42" i="16"/>
  <c r="J38" i="16"/>
  <c r="G38" i="16"/>
  <c r="I27" i="16"/>
  <c r="I23" i="16"/>
  <c r="I24" i="16" s="1"/>
  <c r="H23" i="16"/>
  <c r="H24" i="16" s="1"/>
  <c r="G24" i="16"/>
  <c r="G84" i="16"/>
  <c r="H27" i="16"/>
  <c r="J24" i="16"/>
  <c r="J13" i="16"/>
  <c r="J56" i="13"/>
  <c r="I56" i="13"/>
  <c r="P20" i="13"/>
  <c r="I19" i="13"/>
  <c r="J19" i="13"/>
  <c r="H16" i="14"/>
  <c r="G16" i="14"/>
  <c r="N185" i="4" l="1"/>
  <c r="O185" i="4" s="1"/>
  <c r="M48" i="13"/>
  <c r="J16" i="14"/>
  <c r="K16" i="14" s="1"/>
  <c r="Q57" i="13"/>
  <c r="R57" i="13" s="1"/>
  <c r="L49" i="13"/>
  <c r="K300" i="4"/>
  <c r="L300" i="4" s="1"/>
  <c r="K268" i="4"/>
  <c r="K267" i="4"/>
  <c r="K24" i="16"/>
  <c r="L56" i="13"/>
  <c r="L19" i="13"/>
  <c r="H276" i="4"/>
  <c r="G276" i="4"/>
  <c r="H299" i="4"/>
  <c r="G299" i="4"/>
  <c r="G266" i="4"/>
  <c r="H266" i="4"/>
  <c r="G265" i="4"/>
  <c r="H265" i="4"/>
  <c r="G264" i="4"/>
  <c r="H264" i="4"/>
  <c r="H99" i="4"/>
  <c r="G99" i="4"/>
  <c r="H21" i="4"/>
  <c r="G21" i="4"/>
  <c r="N41" i="4"/>
  <c r="O41" i="4" s="1"/>
  <c r="N32" i="4"/>
  <c r="H10" i="14"/>
  <c r="G10" i="14"/>
  <c r="H9" i="14"/>
  <c r="G9" i="14"/>
  <c r="H11" i="14"/>
  <c r="G11" i="14"/>
  <c r="I60" i="4"/>
  <c r="M60" i="4"/>
  <c r="F60" i="4"/>
  <c r="H57" i="4"/>
  <c r="G57" i="4"/>
  <c r="G8" i="14"/>
  <c r="H8" i="14"/>
  <c r="H7" i="14"/>
  <c r="G7" i="14"/>
  <c r="H63" i="4"/>
  <c r="G63" i="4"/>
  <c r="K251" i="13"/>
  <c r="P251" i="13"/>
  <c r="H251" i="13"/>
  <c r="P244" i="13"/>
  <c r="K244" i="13"/>
  <c r="H244" i="13"/>
  <c r="J243" i="13"/>
  <c r="J244" i="13" s="1"/>
  <c r="I243" i="13"/>
  <c r="I244" i="13" s="1"/>
  <c r="J250" i="13"/>
  <c r="I250" i="13"/>
  <c r="G18" i="14"/>
  <c r="H18" i="14"/>
  <c r="G17" i="14"/>
  <c r="H17" i="14"/>
  <c r="H14" i="4"/>
  <c r="G14" i="4"/>
  <c r="N48" i="13" l="1"/>
  <c r="N49" i="13" s="1"/>
  <c r="L268" i="4"/>
  <c r="N268" i="4" s="1"/>
  <c r="L267" i="4"/>
  <c r="N267" i="4" s="1"/>
  <c r="N16" i="14"/>
  <c r="O16" i="14" s="1"/>
  <c r="M49" i="13"/>
  <c r="L23" i="16"/>
  <c r="L24" i="16" s="1"/>
  <c r="M56" i="13"/>
  <c r="J7" i="14"/>
  <c r="J18" i="14"/>
  <c r="K18" i="14" s="1"/>
  <c r="J9" i="14"/>
  <c r="J17" i="14"/>
  <c r="K17" i="14" s="1"/>
  <c r="J8" i="14"/>
  <c r="K8" i="14" s="1"/>
  <c r="J11" i="14"/>
  <c r="K11" i="14" s="1"/>
  <c r="J10" i="14"/>
  <c r="K10" i="14" s="1"/>
  <c r="M19" i="13"/>
  <c r="J299" i="4"/>
  <c r="K299" i="4" s="1"/>
  <c r="L299" i="4" s="1"/>
  <c r="J21" i="4"/>
  <c r="J276" i="4"/>
  <c r="K276" i="4" s="1"/>
  <c r="L276" i="4" s="1"/>
  <c r="J265" i="4"/>
  <c r="K265" i="4" s="1"/>
  <c r="J266" i="4"/>
  <c r="J264" i="4"/>
  <c r="J99" i="4"/>
  <c r="K99" i="4" s="1"/>
  <c r="L99" i="4" s="1"/>
  <c r="J63" i="4"/>
  <c r="J57" i="4"/>
  <c r="L250" i="13"/>
  <c r="L243" i="13"/>
  <c r="J14" i="4"/>
  <c r="K14" i="4" s="1"/>
  <c r="N14" i="4" s="1"/>
  <c r="Q48" i="13" l="1"/>
  <c r="Q49" i="13" s="1"/>
  <c r="L265" i="4"/>
  <c r="N265" i="4" s="1"/>
  <c r="O265" i="4" s="1"/>
  <c r="N11" i="14"/>
  <c r="O11" i="14" s="1"/>
  <c r="N17" i="14"/>
  <c r="O17" i="14" s="1"/>
  <c r="N18" i="14"/>
  <c r="O18" i="14" s="1"/>
  <c r="Q19" i="13"/>
  <c r="R19" i="13" s="1"/>
  <c r="O14" i="4"/>
  <c r="N8" i="14"/>
  <c r="O8" i="14" s="1"/>
  <c r="N10" i="14"/>
  <c r="O10" i="14" s="1"/>
  <c r="N299" i="4"/>
  <c r="O299" i="4" s="1"/>
  <c r="N276" i="4"/>
  <c r="O276" i="4" s="1"/>
  <c r="N99" i="4"/>
  <c r="O99" i="4" s="1"/>
  <c r="K63" i="4"/>
  <c r="N300" i="4"/>
  <c r="N56" i="13"/>
  <c r="O267" i="4"/>
  <c r="O268" i="4"/>
  <c r="K9" i="14"/>
  <c r="K7" i="14"/>
  <c r="K266" i="4"/>
  <c r="K264" i="4"/>
  <c r="K57" i="4"/>
  <c r="L57" i="4" s="1"/>
  <c r="L244" i="13"/>
  <c r="M243" i="13"/>
  <c r="M250" i="13"/>
  <c r="N250" i="13" s="1"/>
  <c r="R48" i="13" l="1"/>
  <c r="R49" i="13" s="1"/>
  <c r="L7" i="14"/>
  <c r="L264" i="4"/>
  <c r="N264" i="4" s="1"/>
  <c r="O264" i="4" s="1"/>
  <c r="L266" i="4"/>
  <c r="N266" i="4" s="1"/>
  <c r="O266" i="4" s="1"/>
  <c r="N9" i="14"/>
  <c r="O9" i="14" s="1"/>
  <c r="O300" i="4"/>
  <c r="L63" i="4"/>
  <c r="Q56" i="13"/>
  <c r="N58" i="13"/>
  <c r="M244" i="13"/>
  <c r="N244" i="13"/>
  <c r="Q243" i="13"/>
  <c r="Q244" i="13" s="1"/>
  <c r="N7" i="14" l="1"/>
  <c r="N63" i="4"/>
  <c r="R56" i="13"/>
  <c r="N57" i="4"/>
  <c r="Q250" i="13"/>
  <c r="R243" i="13"/>
  <c r="R244" i="13" s="1"/>
  <c r="O63" i="4" l="1"/>
  <c r="O7" i="14"/>
  <c r="O57" i="4"/>
  <c r="R250" i="13"/>
  <c r="K166" i="13" l="1"/>
  <c r="P166" i="13"/>
  <c r="H166" i="13"/>
  <c r="K156" i="13"/>
  <c r="P156" i="13"/>
  <c r="H156" i="13"/>
  <c r="K150" i="13"/>
  <c r="H150" i="13"/>
  <c r="K146" i="13"/>
  <c r="P146" i="13"/>
  <c r="H146" i="13"/>
  <c r="I342" i="4" l="1"/>
  <c r="M342" i="4"/>
  <c r="F342" i="4"/>
  <c r="I178" i="4"/>
  <c r="M178" i="4"/>
  <c r="F178" i="4"/>
  <c r="I171" i="4"/>
  <c r="M171" i="4"/>
  <c r="F171" i="4"/>
  <c r="I89" i="4"/>
  <c r="M89" i="4"/>
  <c r="F89" i="4"/>
  <c r="I33" i="13"/>
  <c r="J33" i="13"/>
  <c r="L33" i="13" l="1"/>
  <c r="M33" i="13" s="1"/>
  <c r="N33" i="13" s="1"/>
  <c r="G298" i="4"/>
  <c r="H298" i="4"/>
  <c r="G277" i="4"/>
  <c r="H277" i="4"/>
  <c r="H262" i="4"/>
  <c r="G262" i="4"/>
  <c r="G263" i="4"/>
  <c r="H263" i="4"/>
  <c r="I192" i="4"/>
  <c r="M192" i="4"/>
  <c r="F192" i="4"/>
  <c r="H190" i="4"/>
  <c r="G190" i="4"/>
  <c r="F151" i="4"/>
  <c r="Q33" i="13" l="1"/>
  <c r="R33" i="13" s="1"/>
  <c r="J277" i="4"/>
  <c r="K277" i="4" s="1"/>
  <c r="L277" i="4" s="1"/>
  <c r="N277" i="4" s="1"/>
  <c r="J298" i="4"/>
  <c r="J263" i="4"/>
  <c r="K263" i="4" s="1"/>
  <c r="L263" i="4" s="1"/>
  <c r="J190" i="4"/>
  <c r="K190" i="4" s="1"/>
  <c r="L190" i="4" s="1"/>
  <c r="N263" i="4" l="1"/>
  <c r="O263" i="4" s="1"/>
  <c r="O277" i="4"/>
  <c r="N190" i="4"/>
  <c r="O190" i="4" s="1"/>
  <c r="K298" i="4"/>
  <c r="L298" i="4" l="1"/>
  <c r="N298" i="4" s="1"/>
  <c r="O298" i="4" s="1"/>
  <c r="H37" i="16" l="1"/>
  <c r="I37" i="16"/>
  <c r="H58" i="16"/>
  <c r="I58" i="16"/>
  <c r="I118" i="16"/>
  <c r="H118" i="16"/>
  <c r="I114" i="16"/>
  <c r="H114" i="16"/>
  <c r="I97" i="16"/>
  <c r="H97" i="16"/>
  <c r="K97" i="16" s="1"/>
  <c r="I83" i="16"/>
  <c r="H83" i="16"/>
  <c r="I49" i="16"/>
  <c r="H49" i="16"/>
  <c r="I154" i="13"/>
  <c r="J154" i="13"/>
  <c r="K49" i="16" l="1"/>
  <c r="K50" i="16" s="1"/>
  <c r="L154" i="13"/>
  <c r="M154" i="13" s="1"/>
  <c r="Q154" i="13" l="1"/>
  <c r="R154" i="13" s="1"/>
  <c r="G94" i="16" l="1"/>
  <c r="J94" i="16" l="1"/>
  <c r="H93" i="16"/>
  <c r="H94" i="16" s="1"/>
  <c r="I93" i="16"/>
  <c r="I94" i="16" s="1"/>
  <c r="I78" i="16"/>
  <c r="H78" i="16"/>
  <c r="P260" i="13"/>
  <c r="K260" i="13"/>
  <c r="H260" i="13"/>
  <c r="J259" i="13"/>
  <c r="J260" i="13" s="1"/>
  <c r="I259" i="13"/>
  <c r="I260" i="13" s="1"/>
  <c r="J254" i="13"/>
  <c r="I254" i="13"/>
  <c r="I256" i="13" s="1"/>
  <c r="I149" i="13"/>
  <c r="J149" i="13"/>
  <c r="P129" i="13"/>
  <c r="L85" i="13"/>
  <c r="L86" i="13"/>
  <c r="M86" i="13" s="1"/>
  <c r="I92" i="13"/>
  <c r="J92" i="13"/>
  <c r="I160" i="4"/>
  <c r="M160" i="4"/>
  <c r="F160" i="4"/>
  <c r="H159" i="4"/>
  <c r="G159" i="4"/>
  <c r="H129" i="13"/>
  <c r="J126" i="13"/>
  <c r="J127" i="13"/>
  <c r="I127" i="13"/>
  <c r="N86" i="13" l="1"/>
  <c r="Q86" i="13" s="1"/>
  <c r="R86" i="13" s="1"/>
  <c r="J159" i="4"/>
  <c r="K159" i="4" s="1"/>
  <c r="L159" i="4" s="1"/>
  <c r="K94" i="16"/>
  <c r="L254" i="13"/>
  <c r="L259" i="13"/>
  <c r="L260" i="13" s="1"/>
  <c r="L149" i="13"/>
  <c r="M149" i="13" s="1"/>
  <c r="N149" i="13" s="1"/>
  <c r="M85" i="13"/>
  <c r="L127" i="13"/>
  <c r="M127" i="13" s="1"/>
  <c r="N127" i="13" s="1"/>
  <c r="L92" i="13"/>
  <c r="M92" i="13" s="1"/>
  <c r="N85" i="13" l="1"/>
  <c r="M254" i="13"/>
  <c r="N159" i="4"/>
  <c r="O159" i="4" s="1"/>
  <c r="Q85" i="13"/>
  <c r="R85" i="13" s="1"/>
  <c r="L93" i="16"/>
  <c r="L94" i="16" s="1"/>
  <c r="M259" i="13"/>
  <c r="Q127" i="13"/>
  <c r="R127" i="13" s="1"/>
  <c r="M196" i="4"/>
  <c r="I196" i="4"/>
  <c r="F196" i="4"/>
  <c r="H195" i="4"/>
  <c r="H196" i="4" s="1"/>
  <c r="G195" i="4"/>
  <c r="G196" i="4" s="1"/>
  <c r="M260" i="13" l="1"/>
  <c r="N259" i="13"/>
  <c r="N260" i="13" s="1"/>
  <c r="Q149" i="13"/>
  <c r="J195" i="4"/>
  <c r="Q259" i="13" l="1"/>
  <c r="Q260" i="13" s="1"/>
  <c r="R149" i="13"/>
  <c r="J196" i="4"/>
  <c r="K195" i="4"/>
  <c r="L195" i="4" s="1"/>
  <c r="R259" i="13" l="1"/>
  <c r="R260" i="13" s="1"/>
  <c r="K196" i="4"/>
  <c r="L196" i="4" l="1"/>
  <c r="N195" i="4"/>
  <c r="N196" i="4" s="1"/>
  <c r="O195" i="4" l="1"/>
  <c r="O196" i="4" s="1"/>
  <c r="J251" i="13" l="1"/>
  <c r="I251" i="13"/>
  <c r="L251" i="13" l="1"/>
  <c r="I17" i="13"/>
  <c r="J17" i="13"/>
  <c r="I18" i="13"/>
  <c r="J18" i="13"/>
  <c r="K11" i="13"/>
  <c r="P11" i="13"/>
  <c r="H11" i="13"/>
  <c r="A14" i="13"/>
  <c r="K20" i="13"/>
  <c r="I156" i="4"/>
  <c r="M156" i="4"/>
  <c r="F156" i="4"/>
  <c r="J226" i="13"/>
  <c r="I226" i="13"/>
  <c r="J114" i="13"/>
  <c r="I114" i="13"/>
  <c r="J78" i="13"/>
  <c r="I78" i="13"/>
  <c r="G296" i="4"/>
  <c r="H296" i="4"/>
  <c r="G295" i="4"/>
  <c r="H295" i="4"/>
  <c r="G275" i="4"/>
  <c r="H275" i="4"/>
  <c r="G261" i="4"/>
  <c r="H261" i="4"/>
  <c r="I24" i="4"/>
  <c r="J115" i="13" l="1"/>
  <c r="I115" i="13"/>
  <c r="L17" i="13"/>
  <c r="M17" i="13" s="1"/>
  <c r="N17" i="13" s="1"/>
  <c r="L226" i="13"/>
  <c r="M226" i="13" s="1"/>
  <c r="L18" i="13"/>
  <c r="M18" i="13" s="1"/>
  <c r="L114" i="13"/>
  <c r="L115" i="13" s="1"/>
  <c r="L78" i="13"/>
  <c r="M78" i="13" s="1"/>
  <c r="J296" i="4"/>
  <c r="K296" i="4" s="1"/>
  <c r="L296" i="4" s="1"/>
  <c r="J295" i="4"/>
  <c r="K295" i="4" s="1"/>
  <c r="L295" i="4" s="1"/>
  <c r="J275" i="4"/>
  <c r="K275" i="4" s="1"/>
  <c r="L275" i="4" s="1"/>
  <c r="J262" i="4"/>
  <c r="J261" i="4"/>
  <c r="K261" i="4" s="1"/>
  <c r="L261" i="4" l="1"/>
  <c r="N261" i="4" s="1"/>
  <c r="N18" i="13"/>
  <c r="Q18" i="13" s="1"/>
  <c r="R18" i="13" s="1"/>
  <c r="Q226" i="13"/>
  <c r="R226" i="13" s="1"/>
  <c r="Q17" i="13"/>
  <c r="R17" i="13" s="1"/>
  <c r="M251" i="13"/>
  <c r="K262" i="4"/>
  <c r="M114" i="13"/>
  <c r="N114" i="13" s="1"/>
  <c r="K26" i="13"/>
  <c r="H203" i="4"/>
  <c r="G203" i="4"/>
  <c r="N203" i="4" l="1"/>
  <c r="L262" i="4"/>
  <c r="N262" i="4" s="1"/>
  <c r="N115" i="13"/>
  <c r="M115" i="13"/>
  <c r="Q251" i="13"/>
  <c r="N251" i="13"/>
  <c r="N296" i="4"/>
  <c r="O296" i="4" s="1"/>
  <c r="N295" i="4"/>
  <c r="O295" i="4" s="1"/>
  <c r="J203" i="4"/>
  <c r="O261" i="4"/>
  <c r="K203" i="4" l="1"/>
  <c r="R251" i="13"/>
  <c r="Q114" i="13"/>
  <c r="N275" i="4"/>
  <c r="Q115" i="13" l="1"/>
  <c r="O262" i="4"/>
  <c r="R114" i="13"/>
  <c r="O275" i="4"/>
  <c r="R115" i="13" l="1"/>
  <c r="O203" i="4"/>
  <c r="H62" i="13" l="1"/>
  <c r="F324" i="4"/>
  <c r="G59" i="16" l="1"/>
  <c r="G46" i="16"/>
  <c r="K123" i="13" l="1"/>
  <c r="P123" i="13"/>
  <c r="H123" i="13"/>
  <c r="I52" i="13"/>
  <c r="J52" i="13"/>
  <c r="I106" i="13"/>
  <c r="J106" i="13"/>
  <c r="I324" i="4"/>
  <c r="M324" i="4"/>
  <c r="G323" i="4"/>
  <c r="H323" i="4"/>
  <c r="G242" i="4"/>
  <c r="H242" i="4"/>
  <c r="H136" i="4"/>
  <c r="G136" i="4"/>
  <c r="J323" i="4" l="1"/>
  <c r="K323" i="4" s="1"/>
  <c r="L106" i="13"/>
  <c r="M106" i="13" s="1"/>
  <c r="N106" i="13" s="1"/>
  <c r="L52" i="13"/>
  <c r="M52" i="13" s="1"/>
  <c r="J242" i="4"/>
  <c r="J136" i="4"/>
  <c r="K136" i="4" s="1"/>
  <c r="L136" i="4" s="1"/>
  <c r="N323" i="4" l="1"/>
  <c r="O323" i="4" s="1"/>
  <c r="Q106" i="13"/>
  <c r="R106" i="13" s="1"/>
  <c r="N52" i="13"/>
  <c r="Q52" i="13" s="1"/>
  <c r="R52" i="13" s="1"/>
  <c r="N136" i="4"/>
  <c r="O136" i="4" s="1"/>
  <c r="K242" i="4"/>
  <c r="N242" i="4" l="1"/>
  <c r="O242" i="4" s="1"/>
  <c r="K98" i="16"/>
  <c r="K88" i="16"/>
  <c r="K264" i="13" l="1"/>
  <c r="H119" i="16" l="1"/>
  <c r="I119" i="16"/>
  <c r="J119" i="16"/>
  <c r="J59" i="16"/>
  <c r="H46" i="16"/>
  <c r="I46" i="16"/>
  <c r="J46" i="16"/>
  <c r="H273" i="13" l="1"/>
  <c r="K273" i="13"/>
  <c r="P273" i="13"/>
  <c r="J155" i="13"/>
  <c r="J156" i="13" s="1"/>
  <c r="I155" i="13"/>
  <c r="J31" i="13"/>
  <c r="I31" i="13"/>
  <c r="L31" i="13" l="1"/>
  <c r="M31" i="13" s="1"/>
  <c r="N31" i="13" s="1"/>
  <c r="L155" i="13"/>
  <c r="M155" i="13" s="1"/>
  <c r="N155" i="13" s="1"/>
  <c r="H221" i="13"/>
  <c r="Q155" i="13" l="1"/>
  <c r="R155" i="13" s="1"/>
  <c r="Q31" i="13"/>
  <c r="R31" i="13" s="1"/>
  <c r="K45" i="16"/>
  <c r="K46" i="16" s="1"/>
  <c r="F219" i="4" l="1"/>
  <c r="I219" i="4"/>
  <c r="M219" i="4"/>
  <c r="K119" i="16" l="1"/>
  <c r="L118" i="16" l="1"/>
  <c r="L119" i="16" s="1"/>
  <c r="I230" i="13"/>
  <c r="J230" i="13"/>
  <c r="J220" i="13"/>
  <c r="I220" i="13"/>
  <c r="L230" i="13" l="1"/>
  <c r="L220" i="13"/>
  <c r="M230" i="13" l="1"/>
  <c r="N230" i="13" s="1"/>
  <c r="M220" i="13"/>
  <c r="I238" i="4"/>
  <c r="M238" i="4"/>
  <c r="F238" i="4"/>
  <c r="I233" i="4"/>
  <c r="M233" i="4"/>
  <c r="F233" i="4"/>
  <c r="I228" i="4"/>
  <c r="M228" i="4"/>
  <c r="F228" i="4"/>
  <c r="I224" i="4"/>
  <c r="F224" i="4"/>
  <c r="I210" i="4"/>
  <c r="M210" i="4"/>
  <c r="F210" i="4"/>
  <c r="I200" i="4"/>
  <c r="M200" i="4"/>
  <c r="F200" i="4"/>
  <c r="I187" i="4"/>
  <c r="M187" i="4"/>
  <c r="F187" i="4"/>
  <c r="I182" i="4"/>
  <c r="M182" i="4"/>
  <c r="F182" i="4"/>
  <c r="I163" i="4"/>
  <c r="M163" i="4"/>
  <c r="F163" i="4"/>
  <c r="I151" i="4"/>
  <c r="M151" i="4"/>
  <c r="F143" i="4"/>
  <c r="I143" i="4"/>
  <c r="M143" i="4"/>
  <c r="I106" i="4"/>
  <c r="M106" i="4"/>
  <c r="F106" i="4"/>
  <c r="I93" i="4"/>
  <c r="M93" i="4"/>
  <c r="F93" i="4"/>
  <c r="I70" i="4"/>
  <c r="M70" i="4"/>
  <c r="F70" i="4"/>
  <c r="I54" i="4"/>
  <c r="M54" i="4"/>
  <c r="F54" i="4"/>
  <c r="G50" i="4"/>
  <c r="H50" i="4"/>
  <c r="I50" i="4"/>
  <c r="M50" i="4"/>
  <c r="F50" i="4"/>
  <c r="I28" i="4"/>
  <c r="M28" i="4"/>
  <c r="F28" i="4"/>
  <c r="M24" i="4"/>
  <c r="K221" i="13"/>
  <c r="P221" i="13"/>
  <c r="I214" i="4"/>
  <c r="M214" i="4"/>
  <c r="F214" i="4"/>
  <c r="H150" i="4"/>
  <c r="I119" i="4"/>
  <c r="M119" i="4"/>
  <c r="Q220" i="13" l="1"/>
  <c r="R220" i="13" s="1"/>
  <c r="A15" i="13"/>
  <c r="A16" i="13" s="1"/>
  <c r="A17" i="13" s="1"/>
  <c r="A18" i="13" s="1"/>
  <c r="A19" i="13" s="1"/>
  <c r="A23" i="13" s="1"/>
  <c r="I105" i="16"/>
  <c r="H105" i="16"/>
  <c r="I101" i="16"/>
  <c r="H101" i="16"/>
  <c r="I82" i="16"/>
  <c r="H82" i="16"/>
  <c r="I77" i="16"/>
  <c r="H77" i="16"/>
  <c r="I61" i="16"/>
  <c r="H61" i="16"/>
  <c r="K61" i="16" s="1"/>
  <c r="I59" i="16"/>
  <c r="I53" i="16"/>
  <c r="H53" i="16"/>
  <c r="H59" i="16"/>
  <c r="I41" i="16"/>
  <c r="I42" i="16" s="1"/>
  <c r="H41" i="16"/>
  <c r="H42" i="16" s="1"/>
  <c r="I36" i="16"/>
  <c r="I38" i="16" s="1"/>
  <c r="H36" i="16"/>
  <c r="H38" i="16" s="1"/>
  <c r="I12" i="16"/>
  <c r="I13" i="16" s="1"/>
  <c r="H12" i="16"/>
  <c r="H13" i="16" s="1"/>
  <c r="K62" i="13"/>
  <c r="P62" i="13"/>
  <c r="I65" i="13"/>
  <c r="J65" i="13"/>
  <c r="I14" i="13"/>
  <c r="I15" i="13"/>
  <c r="K53" i="16" l="1"/>
  <c r="L53" i="16" s="1"/>
  <c r="Q230" i="13"/>
  <c r="K105" i="16"/>
  <c r="K12" i="16"/>
  <c r="K13" i="16" s="1"/>
  <c r="L65" i="13"/>
  <c r="M65" i="13" s="1"/>
  <c r="K106" i="16" l="1"/>
  <c r="K121" i="16" s="1"/>
  <c r="L105" i="16"/>
  <c r="N65" i="13"/>
  <c r="Q65" i="13" s="1"/>
  <c r="R65" i="13" s="1"/>
  <c r="R230" i="13"/>
  <c r="I318" i="4" l="1"/>
  <c r="M318" i="4"/>
  <c r="F318" i="4"/>
  <c r="I309" i="4"/>
  <c r="M309" i="4"/>
  <c r="F309" i="4"/>
  <c r="F344" i="4" s="1"/>
  <c r="G297" i="4"/>
  <c r="H297" i="4"/>
  <c r="H269" i="13"/>
  <c r="K129" i="13"/>
  <c r="K269" i="13"/>
  <c r="J268" i="13"/>
  <c r="I268" i="13"/>
  <c r="I128" i="13"/>
  <c r="J128" i="13"/>
  <c r="I344" i="4" l="1"/>
  <c r="L128" i="13"/>
  <c r="J297" i="4"/>
  <c r="K297" i="4" s="1"/>
  <c r="L297" i="4" s="1"/>
  <c r="L268" i="13"/>
  <c r="J95" i="13"/>
  <c r="J97" i="13" s="1"/>
  <c r="I95" i="13"/>
  <c r="I97" i="13" s="1"/>
  <c r="H106" i="16"/>
  <c r="H121" i="16" s="1"/>
  <c r="I106" i="16"/>
  <c r="I121" i="16" s="1"/>
  <c r="J106" i="16"/>
  <c r="G106" i="16"/>
  <c r="G121" i="16" s="1"/>
  <c r="M268" i="13" l="1"/>
  <c r="M128" i="13"/>
  <c r="N128" i="13" s="1"/>
  <c r="L95" i="13"/>
  <c r="L97" i="13" s="1"/>
  <c r="M95" i="13" l="1"/>
  <c r="M97" i="13" s="1"/>
  <c r="Q268" i="13" l="1"/>
  <c r="R268" i="13" s="1"/>
  <c r="O269" i="13"/>
  <c r="O275" i="13" s="1"/>
  <c r="Q128" i="13"/>
  <c r="R128" i="13" l="1"/>
  <c r="Q95" i="13"/>
  <c r="Q97" i="13" s="1"/>
  <c r="R95" i="13" l="1"/>
  <c r="R97" i="13" s="1"/>
  <c r="H98" i="16" l="1"/>
  <c r="I98" i="16"/>
  <c r="J98" i="16"/>
  <c r="G98" i="16"/>
  <c r="L97" i="16"/>
  <c r="L98" i="16" s="1"/>
  <c r="P264" i="13"/>
  <c r="H264" i="13"/>
  <c r="K240" i="13"/>
  <c r="P240" i="13"/>
  <c r="H240" i="13"/>
  <c r="K236" i="13"/>
  <c r="P236" i="13"/>
  <c r="H236" i="13"/>
  <c r="K201" i="13"/>
  <c r="P201" i="13"/>
  <c r="H201" i="13"/>
  <c r="K188" i="13"/>
  <c r="P188" i="13"/>
  <c r="H188" i="13"/>
  <c r="K101" i="13"/>
  <c r="H101" i="13"/>
  <c r="J170" i="13"/>
  <c r="J171" i="13" s="1"/>
  <c r="I170" i="13"/>
  <c r="I171" i="13" s="1"/>
  <c r="P25" i="13"/>
  <c r="H116" i="4"/>
  <c r="G116" i="4"/>
  <c r="J41" i="13"/>
  <c r="I41" i="13"/>
  <c r="P26" i="13" l="1"/>
  <c r="J116" i="4"/>
  <c r="K116" i="4" s="1"/>
  <c r="L116" i="4" s="1"/>
  <c r="L170" i="13"/>
  <c r="L171" i="13" s="1"/>
  <c r="L41" i="13"/>
  <c r="M41" i="13" s="1"/>
  <c r="N41" i="13" s="1"/>
  <c r="N116" i="4" l="1"/>
  <c r="O116" i="4" s="1"/>
  <c r="Q41" i="13"/>
  <c r="M170" i="13"/>
  <c r="M171" i="13" s="1"/>
  <c r="R41" i="13" l="1"/>
  <c r="I210" i="13"/>
  <c r="J210" i="13"/>
  <c r="I208" i="13"/>
  <c r="J208" i="13"/>
  <c r="I145" i="13"/>
  <c r="J145" i="13"/>
  <c r="I140" i="13"/>
  <c r="J140" i="13"/>
  <c r="I40" i="13"/>
  <c r="J40" i="13"/>
  <c r="G283" i="4"/>
  <c r="H283" i="4"/>
  <c r="I20" i="16"/>
  <c r="I21" i="16" s="1"/>
  <c r="H20" i="16"/>
  <c r="K20" i="16" s="1"/>
  <c r="L20" i="16" s="1"/>
  <c r="J21" i="16"/>
  <c r="G21" i="16"/>
  <c r="H21" i="16" l="1"/>
  <c r="Q170" i="13"/>
  <c r="Q171" i="13" s="1"/>
  <c r="L145" i="13"/>
  <c r="L210" i="13"/>
  <c r="M210" i="13" s="1"/>
  <c r="L208" i="13"/>
  <c r="L140" i="13"/>
  <c r="M140" i="13" s="1"/>
  <c r="L40" i="13"/>
  <c r="M40" i="13" s="1"/>
  <c r="N40" i="13" s="1"/>
  <c r="J283" i="4"/>
  <c r="K21" i="16" l="1"/>
  <c r="N140" i="13"/>
  <c r="Q140" i="13" s="1"/>
  <c r="K283" i="4"/>
  <c r="R170" i="13"/>
  <c r="R171" i="13" s="1"/>
  <c r="Q40" i="13"/>
  <c r="R40" i="13" s="1"/>
  <c r="Q210" i="13"/>
  <c r="R210" i="13" s="1"/>
  <c r="M145" i="13"/>
  <c r="N145" i="13" s="1"/>
  <c r="M208" i="13"/>
  <c r="L21" i="16"/>
  <c r="N283" i="4" l="1"/>
  <c r="O283" i="4" s="1"/>
  <c r="N208" i="13"/>
  <c r="R140" i="13"/>
  <c r="J61" i="13"/>
  <c r="J62" i="13" s="1"/>
  <c r="I61" i="13"/>
  <c r="I62" i="13" s="1"/>
  <c r="Q145" i="13" l="1"/>
  <c r="Q208" i="13"/>
  <c r="L61" i="13"/>
  <c r="L62" i="13" s="1"/>
  <c r="R145" i="13" l="1"/>
  <c r="R208" i="13"/>
  <c r="M61" i="13"/>
  <c r="M62" i="13" s="1"/>
  <c r="N61" i="13" l="1"/>
  <c r="N62" i="13" s="1"/>
  <c r="Q61" i="13" l="1"/>
  <c r="Q62" i="13" s="1"/>
  <c r="R61" i="13" l="1"/>
  <c r="R62" i="13" s="1"/>
  <c r="G104" i="4"/>
  <c r="J104" i="4" l="1"/>
  <c r="K104" i="4" l="1"/>
  <c r="L104" i="4" s="1"/>
  <c r="N104" i="4" l="1"/>
  <c r="O104" i="4" l="1"/>
  <c r="J50" i="16"/>
  <c r="I50" i="16"/>
  <c r="H50" i="16"/>
  <c r="G50" i="16"/>
  <c r="J267" i="13"/>
  <c r="J269" i="13" s="1"/>
  <c r="I267" i="13"/>
  <c r="I269" i="13" s="1"/>
  <c r="J246" i="13"/>
  <c r="I246" i="13"/>
  <c r="I182" i="13"/>
  <c r="J182" i="13"/>
  <c r="J164" i="13"/>
  <c r="I164" i="13"/>
  <c r="J25" i="13"/>
  <c r="I25" i="13"/>
  <c r="L49" i="16" l="1"/>
  <c r="L50" i="16" s="1"/>
  <c r="L267" i="13"/>
  <c r="L269" i="13" s="1"/>
  <c r="L246" i="13"/>
  <c r="L182" i="13"/>
  <c r="M182" i="13" s="1"/>
  <c r="L164" i="13"/>
  <c r="L25" i="13"/>
  <c r="H23" i="4"/>
  <c r="G23" i="4"/>
  <c r="G10" i="4"/>
  <c r="H10" i="4"/>
  <c r="M164" i="13" l="1"/>
  <c r="M267" i="13"/>
  <c r="M246" i="13"/>
  <c r="N246" i="13" s="1"/>
  <c r="Q182" i="13"/>
  <c r="R182" i="13" s="1"/>
  <c r="M25" i="13"/>
  <c r="N25" i="13" s="1"/>
  <c r="J23" i="4"/>
  <c r="K23" i="4" s="1"/>
  <c r="L23" i="4" s="1"/>
  <c r="J10" i="4"/>
  <c r="K10" i="4" l="1"/>
  <c r="M269" i="13"/>
  <c r="N267" i="13"/>
  <c r="N269" i="13" s="1"/>
  <c r="N10" i="4" l="1"/>
  <c r="O10" i="4" s="1"/>
  <c r="Q246" i="13"/>
  <c r="R246" i="13" s="1"/>
  <c r="Q164" i="13"/>
  <c r="Q267" i="13"/>
  <c r="Q269" i="13" s="1"/>
  <c r="Q25" i="13"/>
  <c r="R25" i="13" l="1"/>
  <c r="R164" i="13"/>
  <c r="N23" i="4"/>
  <c r="R267" i="13"/>
  <c r="R269" i="13" s="1"/>
  <c r="O23" i="4" l="1"/>
  <c r="K62" i="16" l="1"/>
  <c r="K8" i="16"/>
  <c r="K9" i="16" s="1"/>
  <c r="J235" i="13"/>
  <c r="J236" i="13" s="1"/>
  <c r="J187" i="13"/>
  <c r="J188" i="13" s="1"/>
  <c r="J214" i="13"/>
  <c r="I214" i="13"/>
  <c r="J165" i="13"/>
  <c r="J166" i="13" s="1"/>
  <c r="I165" i="13"/>
  <c r="I166" i="13" s="1"/>
  <c r="J122" i="13"/>
  <c r="J123" i="13" s="1"/>
  <c r="I122" i="13"/>
  <c r="I123" i="13" s="1"/>
  <c r="J23" i="13"/>
  <c r="J14" i="13"/>
  <c r="H27" i="4"/>
  <c r="H28" i="4" s="1"/>
  <c r="G341" i="4"/>
  <c r="H341" i="4"/>
  <c r="G258" i="4"/>
  <c r="H258" i="4"/>
  <c r="G259" i="4"/>
  <c r="H259" i="4"/>
  <c r="G260" i="4"/>
  <c r="H260" i="4"/>
  <c r="G257" i="4"/>
  <c r="H257" i="4"/>
  <c r="J259" i="4" l="1"/>
  <c r="J341" i="4"/>
  <c r="L214" i="13"/>
  <c r="L165" i="13"/>
  <c r="L166" i="13" s="1"/>
  <c r="L122" i="13"/>
  <c r="L123" i="13" s="1"/>
  <c r="J258" i="4"/>
  <c r="J260" i="4"/>
  <c r="J257" i="4"/>
  <c r="K257" i="4" s="1"/>
  <c r="H92" i="4"/>
  <c r="G13" i="4"/>
  <c r="H13" i="4"/>
  <c r="L257" i="4" l="1"/>
  <c r="N257" i="4" s="1"/>
  <c r="K260" i="4"/>
  <c r="L260" i="4" s="1"/>
  <c r="K258" i="4"/>
  <c r="L258" i="4" s="1"/>
  <c r="K341" i="4"/>
  <c r="L341" i="4" s="1"/>
  <c r="K259" i="4"/>
  <c r="L259" i="4" s="1"/>
  <c r="M122" i="13"/>
  <c r="M214" i="13"/>
  <c r="M165" i="13"/>
  <c r="J13" i="4"/>
  <c r="K13" i="4" s="1"/>
  <c r="N13" i="4" l="1"/>
  <c r="O13" i="4" s="1"/>
  <c r="N259" i="4"/>
  <c r="O259" i="4" s="1"/>
  <c r="N258" i="4"/>
  <c r="O258" i="4" s="1"/>
  <c r="N260" i="4"/>
  <c r="O260" i="4" s="1"/>
  <c r="M166" i="13"/>
  <c r="N165" i="13"/>
  <c r="N166" i="13" s="1"/>
  <c r="M123" i="13"/>
  <c r="N122" i="13"/>
  <c r="N123" i="13" s="1"/>
  <c r="N341" i="4"/>
  <c r="O341" i="4" s="1"/>
  <c r="Q254" i="13"/>
  <c r="O257" i="4"/>
  <c r="R254" i="13" l="1"/>
  <c r="Q122" i="13"/>
  <c r="Q123" i="13" s="1"/>
  <c r="Q214" i="13"/>
  <c r="Q165" i="13"/>
  <c r="Q166" i="13" s="1"/>
  <c r="R122" i="13" l="1"/>
  <c r="R123" i="13" s="1"/>
  <c r="R214" i="13"/>
  <c r="R165" i="13"/>
  <c r="R166" i="13" s="1"/>
  <c r="K101" i="16" l="1"/>
  <c r="K102" i="16" s="1"/>
  <c r="K17" i="16"/>
  <c r="P150" i="13"/>
  <c r="L14" i="13"/>
  <c r="G338" i="4"/>
  <c r="H338" i="4"/>
  <c r="J49" i="4"/>
  <c r="J88" i="4"/>
  <c r="K88" i="4" s="1"/>
  <c r="L88" i="4" s="1"/>
  <c r="J92" i="4"/>
  <c r="J118" i="4"/>
  <c r="K118" i="4" s="1"/>
  <c r="L118" i="4" s="1"/>
  <c r="J134" i="4"/>
  <c r="J141" i="4"/>
  <c r="N1000184" i="4"/>
  <c r="J50" i="4" l="1"/>
  <c r="K49" i="4"/>
  <c r="K50" i="4" s="1"/>
  <c r="N118" i="4"/>
  <c r="O118" i="4" s="1"/>
  <c r="M14" i="13"/>
  <c r="N14" i="13" s="1"/>
  <c r="K141" i="4"/>
  <c r="L141" i="4" s="1"/>
  <c r="K134" i="4"/>
  <c r="L134" i="4" s="1"/>
  <c r="K92" i="4"/>
  <c r="L92" i="4" s="1"/>
  <c r="N88" i="4"/>
  <c r="J338" i="4"/>
  <c r="K338" i="4" s="1"/>
  <c r="N134" i="4" l="1"/>
  <c r="N338" i="4"/>
  <c r="O338" i="4" s="1"/>
  <c r="L49" i="4"/>
  <c r="L50" i="4" s="1"/>
  <c r="N141" i="4" l="1"/>
  <c r="O141" i="4" s="1"/>
  <c r="Q14" i="13"/>
  <c r="N92" i="4"/>
  <c r="N93" i="4" s="1"/>
  <c r="N49" i="4"/>
  <c r="N50" i="4" s="1"/>
  <c r="I235" i="13" l="1"/>
  <c r="I236" i="13" s="1"/>
  <c r="L235" i="13" l="1"/>
  <c r="L236" i="13" s="1"/>
  <c r="H237" i="4"/>
  <c r="M235" i="13" l="1"/>
  <c r="M236" i="13" l="1"/>
  <c r="N235" i="13"/>
  <c r="N236" i="13" s="1"/>
  <c r="R14" i="13"/>
  <c r="Q235" i="13" l="1"/>
  <c r="Q236" i="13" s="1"/>
  <c r="H73" i="4"/>
  <c r="G73" i="4"/>
  <c r="R235" i="13" l="1"/>
  <c r="R236" i="13" s="1"/>
  <c r="J73" i="4"/>
  <c r="K73" i="4" l="1"/>
  <c r="P101" i="13"/>
  <c r="H105" i="4"/>
  <c r="G105" i="4"/>
  <c r="H142" i="4"/>
  <c r="H143" i="4" s="1"/>
  <c r="G142" i="4"/>
  <c r="G143" i="4" s="1"/>
  <c r="G241" i="4"/>
  <c r="H241" i="4"/>
  <c r="L73" i="4" l="1"/>
  <c r="N73" i="4" s="1"/>
  <c r="O73" i="4" s="1"/>
  <c r="J105" i="4"/>
  <c r="J142" i="4"/>
  <c r="J143" i="4" s="1"/>
  <c r="J241" i="4"/>
  <c r="K241" i="4" s="1"/>
  <c r="N241" i="4" l="1"/>
  <c r="K105" i="4"/>
  <c r="L105" i="4" s="1"/>
  <c r="K142" i="4"/>
  <c r="K143" i="4" l="1"/>
  <c r="L143" i="4"/>
  <c r="G79" i="16"/>
  <c r="G74" i="16"/>
  <c r="B8" i="16"/>
  <c r="H84" i="16"/>
  <c r="I84" i="16"/>
  <c r="H79" i="16"/>
  <c r="I79" i="16"/>
  <c r="O241" i="4" l="1"/>
  <c r="N105" i="4"/>
  <c r="L58" i="16"/>
  <c r="N142" i="4"/>
  <c r="N143" i="4" s="1"/>
  <c r="O105" i="4" l="1"/>
  <c r="I23" i="13"/>
  <c r="J15" i="13"/>
  <c r="M224" i="4" l="1"/>
  <c r="M344" i="4" s="1"/>
  <c r="L23" i="13"/>
  <c r="L15" i="13"/>
  <c r="M15" i="13" l="1"/>
  <c r="N15" i="13" s="1"/>
  <c r="M23" i="13"/>
  <c r="G177" i="4"/>
  <c r="H177" i="4"/>
  <c r="N23" i="13" l="1"/>
  <c r="J177" i="4"/>
  <c r="K177" i="4" s="1"/>
  <c r="L177" i="4" s="1"/>
  <c r="Q15" i="13" l="1"/>
  <c r="Q23" i="13"/>
  <c r="N177" i="4"/>
  <c r="O177" i="4" s="1"/>
  <c r="J110" i="13"/>
  <c r="J112" i="13" s="1"/>
  <c r="I110" i="13"/>
  <c r="I112" i="13" s="1"/>
  <c r="I211" i="13"/>
  <c r="J211" i="13"/>
  <c r="I192" i="13"/>
  <c r="J192" i="13"/>
  <c r="R15" i="13" l="1"/>
  <c r="L211" i="13"/>
  <c r="M211" i="13" s="1"/>
  <c r="L192" i="13"/>
  <c r="M192" i="13" s="1"/>
  <c r="L110" i="13"/>
  <c r="L112" i="13" s="1"/>
  <c r="Q211" i="13" l="1"/>
  <c r="R211" i="13" s="1"/>
  <c r="Q192" i="13"/>
  <c r="M110" i="13"/>
  <c r="M112" i="13" l="1"/>
  <c r="N110" i="13"/>
  <c r="N112" i="13" s="1"/>
  <c r="R192" i="13"/>
  <c r="L106" i="16"/>
  <c r="L121" i="16" s="1"/>
  <c r="Q110" i="13" l="1"/>
  <c r="Q112" i="13" s="1"/>
  <c r="J16" i="13"/>
  <c r="J20" i="13" s="1"/>
  <c r="I16" i="13"/>
  <c r="I20" i="13" s="1"/>
  <c r="R110" i="13" l="1"/>
  <c r="R112" i="13" s="1"/>
  <c r="L16" i="13"/>
  <c r="L20" i="13" s="1"/>
  <c r="M16" i="13" l="1"/>
  <c r="N16" i="13" s="1"/>
  <c r="G293" i="4"/>
  <c r="H293" i="4"/>
  <c r="M20" i="13" l="1"/>
  <c r="N20" i="13"/>
  <c r="J293" i="4"/>
  <c r="K293" i="4" s="1"/>
  <c r="L293" i="4" s="1"/>
  <c r="H96" i="4"/>
  <c r="G96" i="4"/>
  <c r="H75" i="4"/>
  <c r="G75" i="4"/>
  <c r="G58" i="4"/>
  <c r="H58" i="4"/>
  <c r="O88" i="4"/>
  <c r="Q16" i="13" l="1"/>
  <c r="Q20" i="13" s="1"/>
  <c r="N293" i="4"/>
  <c r="O293" i="4" s="1"/>
  <c r="J75" i="4"/>
  <c r="J58" i="4"/>
  <c r="J96" i="4"/>
  <c r="K96" i="4" l="1"/>
  <c r="L96" i="4" s="1"/>
  <c r="K75" i="4"/>
  <c r="K58" i="4"/>
  <c r="L58" i="4" s="1"/>
  <c r="R16" i="13"/>
  <c r="R20" i="13" s="1"/>
  <c r="J84" i="13"/>
  <c r="J88" i="13" s="1"/>
  <c r="I84" i="13"/>
  <c r="I88" i="13" s="1"/>
  <c r="J29" i="13"/>
  <c r="I29" i="13"/>
  <c r="N75" i="4" l="1"/>
  <c r="O75" i="4" s="1"/>
  <c r="N96" i="4"/>
  <c r="L29" i="13"/>
  <c r="L84" i="13"/>
  <c r="L88" i="13" s="1"/>
  <c r="K77" i="16"/>
  <c r="K79" i="16" s="1"/>
  <c r="J62" i="16"/>
  <c r="I62" i="16"/>
  <c r="H62" i="16"/>
  <c r="G62" i="16"/>
  <c r="K66" i="16"/>
  <c r="G66" i="16"/>
  <c r="H66" i="16"/>
  <c r="I66" i="16"/>
  <c r="J66" i="16"/>
  <c r="K69" i="16"/>
  <c r="K70" i="16" s="1"/>
  <c r="G70" i="16"/>
  <c r="H70" i="16"/>
  <c r="I70" i="16"/>
  <c r="J70" i="16"/>
  <c r="H169" i="4"/>
  <c r="G169" i="4"/>
  <c r="H166" i="4"/>
  <c r="G166" i="4"/>
  <c r="H124" i="4"/>
  <c r="G124" i="4"/>
  <c r="H37" i="4"/>
  <c r="G37" i="4"/>
  <c r="O96" i="4" l="1"/>
  <c r="N58" i="4"/>
  <c r="L65" i="16"/>
  <c r="L66" i="16" s="1"/>
  <c r="M84" i="13"/>
  <c r="J37" i="4"/>
  <c r="J169" i="4"/>
  <c r="K169" i="4" s="1"/>
  <c r="L169" i="4" s="1"/>
  <c r="M29" i="13"/>
  <c r="J124" i="4"/>
  <c r="J166" i="4"/>
  <c r="L69" i="16"/>
  <c r="L70" i="16" s="1"/>
  <c r="L77" i="16"/>
  <c r="L61" i="16"/>
  <c r="L62" i="16" s="1"/>
  <c r="M88" i="13" l="1"/>
  <c r="N87" i="13" s="1"/>
  <c r="Q87" i="13" s="1"/>
  <c r="R87" i="13" s="1"/>
  <c r="N84" i="13"/>
  <c r="N88" i="13" s="1"/>
  <c r="N29" i="13"/>
  <c r="O58" i="4"/>
  <c r="K37" i="4"/>
  <c r="L37" i="4" s="1"/>
  <c r="K166" i="4"/>
  <c r="K124" i="4"/>
  <c r="N169" i="4"/>
  <c r="O169" i="4" s="1"/>
  <c r="N37" i="4" l="1"/>
  <c r="O37" i="4" s="1"/>
  <c r="N124" i="4"/>
  <c r="Q84" i="13"/>
  <c r="Q88" i="13" s="1"/>
  <c r="Q29" i="13"/>
  <c r="R29" i="13" l="1"/>
  <c r="R84" i="13"/>
  <c r="R88" i="13" s="1"/>
  <c r="N166" i="4"/>
  <c r="O124" i="4"/>
  <c r="O166" i="4" l="1"/>
  <c r="K74" i="16" l="1"/>
  <c r="J148" i="13" l="1"/>
  <c r="J150" i="13" s="1"/>
  <c r="I148" i="13"/>
  <c r="I150" i="13" s="1"/>
  <c r="J231" i="13"/>
  <c r="J232" i="13" s="1"/>
  <c r="I231" i="13"/>
  <c r="I232" i="13" s="1"/>
  <c r="L148" i="13" l="1"/>
  <c r="L150" i="13" s="1"/>
  <c r="L231" i="13"/>
  <c r="L232" i="13" s="1"/>
  <c r="K54" i="16"/>
  <c r="H74" i="16"/>
  <c r="I74" i="16"/>
  <c r="J74" i="16"/>
  <c r="K59" i="16"/>
  <c r="M148" i="13" l="1"/>
  <c r="M231" i="13"/>
  <c r="N231" i="13" s="1"/>
  <c r="J139" i="13"/>
  <c r="J141" i="13" s="1"/>
  <c r="I139" i="13"/>
  <c r="I141" i="13" s="1"/>
  <c r="I144" i="13"/>
  <c r="I146" i="13" s="1"/>
  <c r="J144" i="13"/>
  <c r="I219" i="13"/>
  <c r="J219" i="13"/>
  <c r="G213" i="4"/>
  <c r="H213" i="4"/>
  <c r="L59" i="16" l="1"/>
  <c r="M150" i="13"/>
  <c r="N232" i="13"/>
  <c r="M232" i="13"/>
  <c r="J146" i="13"/>
  <c r="L144" i="13"/>
  <c r="L146" i="13" s="1"/>
  <c r="L219" i="13"/>
  <c r="M219" i="13" s="1"/>
  <c r="N219" i="13" s="1"/>
  <c r="L139" i="13"/>
  <c r="L141" i="13" s="1"/>
  <c r="J213" i="4"/>
  <c r="K213" i="4" l="1"/>
  <c r="Q231" i="13"/>
  <c r="Q232" i="13" s="1"/>
  <c r="Q219" i="13"/>
  <c r="M144" i="13"/>
  <c r="M139" i="13"/>
  <c r="J58" i="13"/>
  <c r="I58" i="13"/>
  <c r="J91" i="13"/>
  <c r="J93" i="13" s="1"/>
  <c r="I91" i="13"/>
  <c r="I93" i="13" s="1"/>
  <c r="J79" i="13"/>
  <c r="I79" i="13"/>
  <c r="J255" i="13"/>
  <c r="J256" i="13" s="1"/>
  <c r="H329" i="4"/>
  <c r="H330" i="4"/>
  <c r="H331" i="4"/>
  <c r="H332" i="4"/>
  <c r="H333" i="4"/>
  <c r="H334" i="4"/>
  <c r="H335" i="4"/>
  <c r="H339" i="4"/>
  <c r="H336" i="4"/>
  <c r="H340" i="4"/>
  <c r="H337" i="4"/>
  <c r="H328" i="4"/>
  <c r="G321" i="4"/>
  <c r="H321" i="4"/>
  <c r="J39" i="13"/>
  <c r="I39" i="13"/>
  <c r="J73" i="13"/>
  <c r="I73" i="13"/>
  <c r="I74" i="13" s="1"/>
  <c r="J11" i="13"/>
  <c r="J9" i="16"/>
  <c r="I9" i="16"/>
  <c r="G246" i="4"/>
  <c r="H246" i="4"/>
  <c r="G247" i="4"/>
  <c r="H247" i="4"/>
  <c r="G248" i="4"/>
  <c r="H248" i="4"/>
  <c r="G249" i="4"/>
  <c r="H249" i="4"/>
  <c r="G252" i="4"/>
  <c r="H252" i="4"/>
  <c r="G253" i="4"/>
  <c r="H253" i="4"/>
  <c r="G254" i="4"/>
  <c r="H254" i="4"/>
  <c r="G251" i="4"/>
  <c r="H251" i="4"/>
  <c r="G250" i="4"/>
  <c r="H250" i="4"/>
  <c r="G255" i="4"/>
  <c r="H255" i="4"/>
  <c r="G256" i="4"/>
  <c r="H256" i="4"/>
  <c r="G240" i="4"/>
  <c r="H240" i="4"/>
  <c r="G244" i="4"/>
  <c r="H244" i="4"/>
  <c r="G245" i="4"/>
  <c r="H245" i="4"/>
  <c r="H106" i="4"/>
  <c r="H98" i="4"/>
  <c r="G97" i="4"/>
  <c r="N139" i="13" l="1"/>
  <c r="M141" i="13"/>
  <c r="G271" i="4"/>
  <c r="H271" i="4"/>
  <c r="J74" i="13"/>
  <c r="L73" i="13"/>
  <c r="M146" i="13"/>
  <c r="N146" i="13"/>
  <c r="H342" i="4"/>
  <c r="N213" i="4"/>
  <c r="N214" i="4" s="1"/>
  <c r="R219" i="13"/>
  <c r="J244" i="4"/>
  <c r="K244" i="4" s="1"/>
  <c r="L79" i="13"/>
  <c r="R231" i="13"/>
  <c r="R232" i="13" s="1"/>
  <c r="L91" i="13"/>
  <c r="L93" i="13" s="1"/>
  <c r="L58" i="13"/>
  <c r="L39" i="13"/>
  <c r="L255" i="13"/>
  <c r="L256" i="13" s="1"/>
  <c r="L10" i="13"/>
  <c r="J247" i="4"/>
  <c r="K247" i="4" s="1"/>
  <c r="L247" i="4" s="1"/>
  <c r="J255" i="4"/>
  <c r="K255" i="4" s="1"/>
  <c r="J254" i="4"/>
  <c r="K254" i="4" s="1"/>
  <c r="J240" i="4"/>
  <c r="J256" i="4"/>
  <c r="K256" i="4" s="1"/>
  <c r="J249" i="4"/>
  <c r="K249" i="4" s="1"/>
  <c r="J250" i="4"/>
  <c r="K250" i="4" s="1"/>
  <c r="J253" i="4"/>
  <c r="K253" i="4" s="1"/>
  <c r="J248" i="4"/>
  <c r="K248" i="4" s="1"/>
  <c r="J246" i="4"/>
  <c r="K246" i="4" s="1"/>
  <c r="L246" i="4" s="1"/>
  <c r="J251" i="4"/>
  <c r="K251" i="4" s="1"/>
  <c r="J252" i="4"/>
  <c r="K252" i="4" s="1"/>
  <c r="J245" i="4"/>
  <c r="K245" i="4" s="1"/>
  <c r="L245" i="4" s="1"/>
  <c r="J321" i="4"/>
  <c r="K321" i="4" s="1"/>
  <c r="L87" i="16"/>
  <c r="L88" i="16" s="1"/>
  <c r="L12" i="16"/>
  <c r="L13" i="16" s="1"/>
  <c r="L8" i="16"/>
  <c r="L9" i="16" s="1"/>
  <c r="H9" i="16"/>
  <c r="G8" i="4"/>
  <c r="G9" i="4"/>
  <c r="H9" i="4"/>
  <c r="H11" i="4"/>
  <c r="G11" i="4"/>
  <c r="G12" i="4"/>
  <c r="H12" i="4"/>
  <c r="Q139" i="13" l="1"/>
  <c r="Q141" i="13" s="1"/>
  <c r="N141" i="13"/>
  <c r="J271" i="4"/>
  <c r="L256" i="4"/>
  <c r="N256" i="4" s="1"/>
  <c r="L249" i="4"/>
  <c r="N249" i="4" s="1"/>
  <c r="N245" i="4"/>
  <c r="L250" i="4"/>
  <c r="N250" i="4" s="1"/>
  <c r="L253" i="4"/>
  <c r="N253" i="4" s="1"/>
  <c r="N244" i="4"/>
  <c r="L254" i="4"/>
  <c r="N254" i="4" s="1"/>
  <c r="L255" i="4"/>
  <c r="N255" i="4" s="1"/>
  <c r="N247" i="4"/>
  <c r="L252" i="4"/>
  <c r="N252" i="4" s="1"/>
  <c r="L251" i="4"/>
  <c r="N251" i="4" s="1"/>
  <c r="N246" i="4"/>
  <c r="L248" i="4"/>
  <c r="N248" i="4" s="1"/>
  <c r="G17" i="4"/>
  <c r="H17" i="4"/>
  <c r="L74" i="13"/>
  <c r="J8" i="4"/>
  <c r="K240" i="4"/>
  <c r="K271" i="4" s="1"/>
  <c r="N321" i="4"/>
  <c r="O213" i="4"/>
  <c r="O214" i="4" s="1"/>
  <c r="M79" i="13"/>
  <c r="M10" i="13"/>
  <c r="M91" i="13"/>
  <c r="M39" i="13"/>
  <c r="M73" i="13"/>
  <c r="M58" i="13"/>
  <c r="Q144" i="13"/>
  <c r="Q146" i="13" s="1"/>
  <c r="M255" i="13"/>
  <c r="J11" i="4"/>
  <c r="J9" i="4"/>
  <c r="K9" i="4" s="1"/>
  <c r="J12" i="4"/>
  <c r="L240" i="4" l="1"/>
  <c r="L271" i="4" s="1"/>
  <c r="N256" i="13"/>
  <c r="M256" i="13"/>
  <c r="Q78" i="13"/>
  <c r="R78" i="13" s="1"/>
  <c r="N79" i="13"/>
  <c r="J17" i="4"/>
  <c r="M74" i="13"/>
  <c r="N91" i="13"/>
  <c r="M93" i="13"/>
  <c r="K8" i="4"/>
  <c r="L8" i="4" s="1"/>
  <c r="K12" i="4"/>
  <c r="N12" i="4" s="1"/>
  <c r="K11" i="4"/>
  <c r="N11" i="4" s="1"/>
  <c r="O321" i="4"/>
  <c r="N10" i="13"/>
  <c r="R144" i="13"/>
  <c r="R146" i="13" s="1"/>
  <c r="R139" i="13"/>
  <c r="R141" i="13" s="1"/>
  <c r="N9" i="4"/>
  <c r="J191" i="13"/>
  <c r="J196" i="13" s="1"/>
  <c r="I191" i="13"/>
  <c r="I196" i="13" s="1"/>
  <c r="I126" i="13"/>
  <c r="L126" i="13" s="1"/>
  <c r="M126" i="13" s="1"/>
  <c r="N126" i="13" s="1"/>
  <c r="N240" i="4" l="1"/>
  <c r="N271" i="4" s="1"/>
  <c r="K17" i="4"/>
  <c r="N74" i="13"/>
  <c r="Q73" i="13"/>
  <c r="Q74" i="13" s="1"/>
  <c r="L17" i="4"/>
  <c r="O9" i="4"/>
  <c r="O11" i="4"/>
  <c r="Q79" i="13"/>
  <c r="Q91" i="13"/>
  <c r="Q39" i="13"/>
  <c r="Q58" i="13"/>
  <c r="Q255" i="13"/>
  <c r="Q256" i="13" s="1"/>
  <c r="L191" i="13"/>
  <c r="L196" i="13" s="1"/>
  <c r="Q10" i="13"/>
  <c r="O12" i="4" l="1"/>
  <c r="R58" i="13"/>
  <c r="R73" i="13"/>
  <c r="R74" i="13" s="1"/>
  <c r="R39" i="13"/>
  <c r="M191" i="13"/>
  <c r="M196" i="13" s="1"/>
  <c r="R10" i="13"/>
  <c r="N8" i="4"/>
  <c r="N17" i="4" s="1"/>
  <c r="J248" i="13"/>
  <c r="J129" i="13"/>
  <c r="K82" i="16"/>
  <c r="J102" i="16"/>
  <c r="I102" i="16"/>
  <c r="H102" i="16"/>
  <c r="G102" i="16"/>
  <c r="J54" i="16"/>
  <c r="I54" i="16"/>
  <c r="H54" i="16"/>
  <c r="G54" i="16"/>
  <c r="N191" i="13" l="1"/>
  <c r="N196" i="13" s="1"/>
  <c r="O8" i="4"/>
  <c r="O17" i="4" s="1"/>
  <c r="L82" i="16"/>
  <c r="L73" i="16"/>
  <c r="L74" i="16" s="1"/>
  <c r="L101" i="16"/>
  <c r="L102" i="16" s="1"/>
  <c r="L54" i="16"/>
  <c r="Q126" i="13" l="1"/>
  <c r="Q129" i="13" s="1"/>
  <c r="Q191" i="13"/>
  <c r="Q196" i="13" s="1"/>
  <c r="G292" i="4"/>
  <c r="H292" i="4"/>
  <c r="H308" i="4"/>
  <c r="H309" i="4" s="1"/>
  <c r="G308" i="4"/>
  <c r="G309" i="4" s="1"/>
  <c r="H176" i="4"/>
  <c r="G176" i="4"/>
  <c r="I187" i="13"/>
  <c r="I188" i="13" s="1"/>
  <c r="R126" i="13" l="1"/>
  <c r="R129" i="13" s="1"/>
  <c r="R191" i="13"/>
  <c r="R196" i="13" s="1"/>
  <c r="L187" i="13"/>
  <c r="L188" i="13" s="1"/>
  <c r="J308" i="4"/>
  <c r="J292" i="4"/>
  <c r="K292" i="4" s="1"/>
  <c r="L292" i="4" s="1"/>
  <c r="J176" i="4"/>
  <c r="K176" i="4" s="1"/>
  <c r="L176" i="4" s="1"/>
  <c r="O256" i="4"/>
  <c r="J309" i="4" l="1"/>
  <c r="K308" i="4"/>
  <c r="L308" i="4" s="1"/>
  <c r="M187" i="13"/>
  <c r="M188" i="13" s="1"/>
  <c r="N292" i="4"/>
  <c r="O292" i="4" s="1"/>
  <c r="N176" i="4"/>
  <c r="O176" i="4" s="1"/>
  <c r="K309" i="4" l="1"/>
  <c r="L309" i="4"/>
  <c r="N187" i="13"/>
  <c r="N188" i="13" s="1"/>
  <c r="G137" i="4"/>
  <c r="L36" i="16" l="1"/>
  <c r="L38" i="16" s="1"/>
  <c r="N308" i="4"/>
  <c r="N309" i="4" s="1"/>
  <c r="Q187" i="13"/>
  <c r="Q188" i="13" s="1"/>
  <c r="B12" i="16"/>
  <c r="B16" i="16" s="1"/>
  <c r="O142" i="4"/>
  <c r="O308" i="4" l="1"/>
  <c r="O309" i="4" s="1"/>
  <c r="R187" i="13"/>
  <c r="R188" i="13" s="1"/>
  <c r="B20" i="16" l="1"/>
  <c r="B23" i="16" s="1"/>
  <c r="B27" i="16" s="1"/>
  <c r="B31" i="16" s="1"/>
  <c r="B32" i="16" s="1"/>
  <c r="I218" i="13"/>
  <c r="J218" i="13"/>
  <c r="G64" i="4"/>
  <c r="H64" i="4"/>
  <c r="H20" i="14"/>
  <c r="G20" i="14"/>
  <c r="J100" i="13"/>
  <c r="J101" i="13" s="1"/>
  <c r="I100" i="13"/>
  <c r="I101" i="13" s="1"/>
  <c r="I105" i="13"/>
  <c r="J105" i="13"/>
  <c r="I104" i="13"/>
  <c r="I108" i="13" l="1"/>
  <c r="J20" i="14"/>
  <c r="L105" i="13"/>
  <c r="M105" i="13" s="1"/>
  <c r="L218" i="13"/>
  <c r="L100" i="13"/>
  <c r="L101" i="13" s="1"/>
  <c r="J64" i="4"/>
  <c r="K20" i="14" l="1"/>
  <c r="K64" i="4"/>
  <c r="Q105" i="13"/>
  <c r="R105" i="13" s="1"/>
  <c r="M218" i="13"/>
  <c r="N218" i="13" s="1"/>
  <c r="M100" i="13"/>
  <c r="M101" i="13" s="1"/>
  <c r="O240" i="4"/>
  <c r="N64" i="4" l="1"/>
  <c r="N100" i="13"/>
  <c r="N101" i="13" s="1"/>
  <c r="I212" i="13"/>
  <c r="I224" i="13"/>
  <c r="J224" i="13"/>
  <c r="J212" i="13"/>
  <c r="J209" i="13"/>
  <c r="I209" i="13"/>
  <c r="I215" i="13" s="1"/>
  <c r="J199" i="13"/>
  <c r="I199" i="13"/>
  <c r="J38" i="13"/>
  <c r="J45" i="13" s="1"/>
  <c r="I38" i="13"/>
  <c r="I45" i="13" s="1"/>
  <c r="H282" i="4"/>
  <c r="H284" i="4"/>
  <c r="H285" i="4"/>
  <c r="H286" i="4"/>
  <c r="H290" i="4"/>
  <c r="H287" i="4"/>
  <c r="H289" i="4"/>
  <c r="H291" i="4"/>
  <c r="H288" i="4"/>
  <c r="H294" i="4"/>
  <c r="G282" i="4"/>
  <c r="G284" i="4"/>
  <c r="G285" i="4"/>
  <c r="G286" i="4"/>
  <c r="G290" i="4"/>
  <c r="G287" i="4"/>
  <c r="G289" i="4"/>
  <c r="G291" i="4"/>
  <c r="G288" i="4"/>
  <c r="G294" i="4"/>
  <c r="G281" i="4"/>
  <c r="H281" i="4"/>
  <c r="G68" i="4"/>
  <c r="H68" i="4"/>
  <c r="B36" i="16"/>
  <c r="B37" i="16" s="1"/>
  <c r="B41" i="16" s="1"/>
  <c r="B45" i="16" s="1"/>
  <c r="B49" i="16" s="1"/>
  <c r="K999970" i="16"/>
  <c r="C16645" i="16"/>
  <c r="C16647" i="16" s="1"/>
  <c r="K41" i="16"/>
  <c r="K42" i="16" s="1"/>
  <c r="J28" i="16"/>
  <c r="G28" i="16"/>
  <c r="K28" i="16"/>
  <c r="J17" i="16"/>
  <c r="G17" i="16"/>
  <c r="I17" i="16"/>
  <c r="H17" i="16"/>
  <c r="L16" i="16"/>
  <c r="J215" i="13" l="1"/>
  <c r="L17" i="16"/>
  <c r="J221" i="13"/>
  <c r="J227" i="13"/>
  <c r="I221" i="13"/>
  <c r="I227" i="13"/>
  <c r="N20" i="14"/>
  <c r="L45" i="16"/>
  <c r="L46" i="16" s="1"/>
  <c r="L27" i="16"/>
  <c r="L28" i="16" s="1"/>
  <c r="L41" i="16"/>
  <c r="L42" i="16" s="1"/>
  <c r="Q218" i="13"/>
  <c r="Q100" i="13"/>
  <c r="Q101" i="13" s="1"/>
  <c r="L38" i="13"/>
  <c r="L212" i="13"/>
  <c r="L209" i="13"/>
  <c r="L199" i="13"/>
  <c r="L224" i="13"/>
  <c r="J291" i="4"/>
  <c r="K291" i="4" s="1"/>
  <c r="L291" i="4" s="1"/>
  <c r="J287" i="4"/>
  <c r="K287" i="4" s="1"/>
  <c r="L287" i="4" s="1"/>
  <c r="J282" i="4"/>
  <c r="J285" i="4"/>
  <c r="K285" i="4" s="1"/>
  <c r="L285" i="4" s="1"/>
  <c r="J294" i="4"/>
  <c r="K294" i="4" s="1"/>
  <c r="L294" i="4" s="1"/>
  <c r="J68" i="4"/>
  <c r="K68" i="4" s="1"/>
  <c r="L68" i="4" s="1"/>
  <c r="J288" i="4"/>
  <c r="K288" i="4" s="1"/>
  <c r="L288" i="4" s="1"/>
  <c r="J286" i="4"/>
  <c r="K286" i="4" s="1"/>
  <c r="L286" i="4" s="1"/>
  <c r="J289" i="4"/>
  <c r="K289" i="4" s="1"/>
  <c r="L289" i="4" s="1"/>
  <c r="J284" i="4"/>
  <c r="K284" i="4" s="1"/>
  <c r="L284" i="4" s="1"/>
  <c r="J281" i="4"/>
  <c r="J290" i="4"/>
  <c r="K290" i="4" s="1"/>
  <c r="L290" i="4" s="1"/>
  <c r="I28" i="16"/>
  <c r="L32" i="16"/>
  <c r="L33" i="16" s="1"/>
  <c r="H28" i="16"/>
  <c r="L215" i="13" l="1"/>
  <c r="L221" i="13"/>
  <c r="M224" i="13"/>
  <c r="N224" i="13" s="1"/>
  <c r="L227" i="13"/>
  <c r="M38" i="13"/>
  <c r="L45" i="13"/>
  <c r="O20" i="14"/>
  <c r="K281" i="4"/>
  <c r="K282" i="4"/>
  <c r="R218" i="13"/>
  <c r="R100" i="13"/>
  <c r="R101" i="13" s="1"/>
  <c r="M199" i="13"/>
  <c r="N199" i="13" s="1"/>
  <c r="M209" i="13"/>
  <c r="M215" i="13" s="1"/>
  <c r="N289" i="4"/>
  <c r="O289" i="4" s="1"/>
  <c r="N294" i="4"/>
  <c r="O294" i="4" s="1"/>
  <c r="N288" i="4"/>
  <c r="O288" i="4" s="1"/>
  <c r="N286" i="4"/>
  <c r="O286" i="4" s="1"/>
  <c r="N287" i="4"/>
  <c r="N291" i="4"/>
  <c r="O291" i="4" s="1"/>
  <c r="N285" i="4"/>
  <c r="N290" i="4"/>
  <c r="O290" i="4" s="1"/>
  <c r="M212" i="13"/>
  <c r="M227" i="13" l="1"/>
  <c r="N227" i="13"/>
  <c r="N38" i="13"/>
  <c r="N45" i="13" s="1"/>
  <c r="M45" i="13"/>
  <c r="N215" i="13"/>
  <c r="M221" i="13"/>
  <c r="N221" i="13"/>
  <c r="O285" i="4"/>
  <c r="N284" i="4"/>
  <c r="O284" i="4" s="1"/>
  <c r="N282" i="4"/>
  <c r="N68" i="4"/>
  <c r="O287" i="4"/>
  <c r="G82" i="4"/>
  <c r="H82" i="4"/>
  <c r="G322" i="4"/>
  <c r="G324" i="4" s="1"/>
  <c r="H322" i="4"/>
  <c r="H324" i="4" s="1"/>
  <c r="Q38" i="13" l="1"/>
  <c r="Q45" i="13" s="1"/>
  <c r="O282" i="4"/>
  <c r="Q224" i="13"/>
  <c r="Q209" i="13"/>
  <c r="Q199" i="13"/>
  <c r="N281" i="4"/>
  <c r="Q212" i="13"/>
  <c r="J82" i="4"/>
  <c r="J322" i="4"/>
  <c r="H232" i="4"/>
  <c r="G232" i="4"/>
  <c r="H231" i="4"/>
  <c r="G231" i="4"/>
  <c r="G218" i="4"/>
  <c r="H218" i="4"/>
  <c r="J174" i="13"/>
  <c r="J175" i="13" s="1"/>
  <c r="I174" i="13"/>
  <c r="I175" i="13" s="1"/>
  <c r="R38" i="13" l="1"/>
  <c r="R45" i="13" s="1"/>
  <c r="Q215" i="13"/>
  <c r="Q221" i="13"/>
  <c r="Q227" i="13"/>
  <c r="J324" i="4"/>
  <c r="K322" i="4"/>
  <c r="H233" i="4"/>
  <c r="G233" i="4"/>
  <c r="R199" i="13"/>
  <c r="O281" i="4"/>
  <c r="J231" i="4"/>
  <c r="K231" i="4" s="1"/>
  <c r="R212" i="13"/>
  <c r="L174" i="13"/>
  <c r="L175" i="13" s="1"/>
  <c r="J232" i="4"/>
  <c r="K232" i="4" s="1"/>
  <c r="K82" i="4"/>
  <c r="L82" i="4" s="1"/>
  <c r="J218" i="4"/>
  <c r="K218" i="4" s="1"/>
  <c r="L218" i="4" s="1"/>
  <c r="O250" i="4"/>
  <c r="R79" i="13"/>
  <c r="I248" i="13"/>
  <c r="R224" i="13"/>
  <c r="R221" i="13" l="1"/>
  <c r="R227" i="13"/>
  <c r="K324" i="4"/>
  <c r="L324" i="4"/>
  <c r="N231" i="4"/>
  <c r="O231" i="4" s="1"/>
  <c r="M174" i="13"/>
  <c r="N174" i="13" s="1"/>
  <c r="J233" i="4"/>
  <c r="N232" i="4"/>
  <c r="O232" i="4" s="1"/>
  <c r="N218" i="4"/>
  <c r="L248" i="13"/>
  <c r="R91" i="13"/>
  <c r="N175" i="13" l="1"/>
  <c r="M175" i="13"/>
  <c r="O218" i="4"/>
  <c r="K233" i="4"/>
  <c r="L233" i="4"/>
  <c r="N322" i="4"/>
  <c r="N324" i="4" s="1"/>
  <c r="N82" i="4"/>
  <c r="M248" i="13" l="1"/>
  <c r="R248" i="13"/>
  <c r="Q174" i="13"/>
  <c r="Q175" i="13" s="1"/>
  <c r="O322" i="4"/>
  <c r="O324" i="4" s="1"/>
  <c r="N233" i="4"/>
  <c r="O82" i="4"/>
  <c r="J200" i="13"/>
  <c r="J201" i="13" s="1"/>
  <c r="I201" i="13"/>
  <c r="J159" i="13"/>
  <c r="J161" i="13" s="1"/>
  <c r="I159" i="13"/>
  <c r="I161" i="13" s="1"/>
  <c r="I30" i="13"/>
  <c r="J30" i="13"/>
  <c r="J104" i="13"/>
  <c r="J108" i="13" s="1"/>
  <c r="J51" i="13"/>
  <c r="J53" i="13" s="1"/>
  <c r="I51" i="13"/>
  <c r="I53" i="13" s="1"/>
  <c r="I24" i="13"/>
  <c r="I26" i="13" s="1"/>
  <c r="J24" i="13"/>
  <c r="J26" i="13" s="1"/>
  <c r="Q248" i="13" l="1"/>
  <c r="N248" i="13"/>
  <c r="L30" i="13"/>
  <c r="L51" i="13"/>
  <c r="L53" i="13" s="1"/>
  <c r="L24" i="13"/>
  <c r="L26" i="13" s="1"/>
  <c r="L159" i="13"/>
  <c r="L161" i="13" s="1"/>
  <c r="L104" i="13"/>
  <c r="L108" i="13" s="1"/>
  <c r="L200" i="13"/>
  <c r="L201" i="13" s="1"/>
  <c r="O233" i="4"/>
  <c r="M30" i="13" l="1"/>
  <c r="M51" i="13"/>
  <c r="M159" i="13"/>
  <c r="M161" i="13" s="1"/>
  <c r="M200" i="13"/>
  <c r="N200" i="13" s="1"/>
  <c r="M104" i="13"/>
  <c r="M24" i="13"/>
  <c r="M26" i="13" s="1"/>
  <c r="R174" i="13"/>
  <c r="R175" i="13" s="1"/>
  <c r="M53" i="13" l="1"/>
  <c r="N51" i="13"/>
  <c r="N53" i="13" s="1"/>
  <c r="N108" i="13"/>
  <c r="M108" i="13"/>
  <c r="N24" i="13"/>
  <c r="N26" i="13" s="1"/>
  <c r="N201" i="13"/>
  <c r="M201" i="13"/>
  <c r="N159" i="13"/>
  <c r="N161" i="13" s="1"/>
  <c r="H15" i="14"/>
  <c r="H21" i="14" s="1"/>
  <c r="G337" i="4"/>
  <c r="G340" i="4"/>
  <c r="G335" i="4"/>
  <c r="G334" i="4"/>
  <c r="G331" i="4"/>
  <c r="J331" i="4" s="1"/>
  <c r="G336" i="4"/>
  <c r="G333" i="4"/>
  <c r="G330" i="4"/>
  <c r="G339" i="4"/>
  <c r="G332" i="4"/>
  <c r="J332" i="4" s="1"/>
  <c r="G329" i="4"/>
  <c r="G191" i="4"/>
  <c r="G328" i="4"/>
  <c r="G342" i="4" l="1"/>
  <c r="Q30" i="13"/>
  <c r="K331" i="4"/>
  <c r="K332" i="4"/>
  <c r="Q51" i="13"/>
  <c r="Q53" i="13" s="1"/>
  <c r="Q159" i="13"/>
  <c r="Q161" i="13" s="1"/>
  <c r="Q200" i="13"/>
  <c r="Q201" i="13" s="1"/>
  <c r="Q104" i="13"/>
  <c r="Q108" i="13" s="1"/>
  <c r="Q24" i="13"/>
  <c r="Q26" i="13" s="1"/>
  <c r="J330" i="4"/>
  <c r="K330" i="4" s="1"/>
  <c r="J340" i="4"/>
  <c r="J334" i="4"/>
  <c r="J339" i="4"/>
  <c r="J328" i="4"/>
  <c r="K328" i="4" s="1"/>
  <c r="L328" i="4" s="1"/>
  <c r="J333" i="4"/>
  <c r="J335" i="4"/>
  <c r="J337" i="4"/>
  <c r="K337" i="4" s="1"/>
  <c r="J336" i="4"/>
  <c r="K336" i="4" s="1"/>
  <c r="J329" i="4"/>
  <c r="K329" i="4" s="1"/>
  <c r="O244" i="4"/>
  <c r="O255" i="4"/>
  <c r="O251" i="4"/>
  <c r="J342" i="4" l="1"/>
  <c r="R30" i="13"/>
  <c r="N332" i="4"/>
  <c r="O332" i="4" s="1"/>
  <c r="K335" i="4"/>
  <c r="L335" i="4" s="1"/>
  <c r="K339" i="4"/>
  <c r="L339" i="4" s="1"/>
  <c r="K334" i="4"/>
  <c r="K333" i="4"/>
  <c r="K340" i="4"/>
  <c r="L340" i="4" s="1"/>
  <c r="R159" i="13"/>
  <c r="R161" i="13" s="1"/>
  <c r="R51" i="13"/>
  <c r="R53" i="13" s="1"/>
  <c r="R104" i="13"/>
  <c r="R108" i="13" s="1"/>
  <c r="R200" i="13"/>
  <c r="R201" i="13" s="1"/>
  <c r="N337" i="4"/>
  <c r="O337" i="4" s="1"/>
  <c r="N331" i="4"/>
  <c r="O331" i="4" s="1"/>
  <c r="R24" i="13"/>
  <c r="G199" i="4"/>
  <c r="G200" i="4" s="1"/>
  <c r="H304" i="4"/>
  <c r="H305" i="4" s="1"/>
  <c r="G304" i="4"/>
  <c r="H318" i="4"/>
  <c r="G318" i="4"/>
  <c r="H313" i="4"/>
  <c r="H314" i="4" s="1"/>
  <c r="G313" i="4"/>
  <c r="G314" i="4" s="1"/>
  <c r="H274" i="4"/>
  <c r="H279" i="4" s="1"/>
  <c r="G274" i="4"/>
  <c r="G279" i="4" s="1"/>
  <c r="H204" i="4"/>
  <c r="H206" i="4" s="1"/>
  <c r="G204" i="4"/>
  <c r="G206" i="4" s="1"/>
  <c r="G305" i="4" l="1"/>
  <c r="L342" i="4"/>
  <c r="K342" i="4"/>
  <c r="N340" i="4"/>
  <c r="O340" i="4" s="1"/>
  <c r="N339" i="4"/>
  <c r="O339" i="4" s="1"/>
  <c r="N334" i="4"/>
  <c r="O334" i="4" s="1"/>
  <c r="N333" i="4"/>
  <c r="O333" i="4" s="1"/>
  <c r="N335" i="4"/>
  <c r="O335" i="4" s="1"/>
  <c r="N330" i="4"/>
  <c r="N329" i="4"/>
  <c r="N336" i="4"/>
  <c r="O336" i="4" s="1"/>
  <c r="J204" i="4"/>
  <c r="J206" i="4" s="1"/>
  <c r="J313" i="4"/>
  <c r="J314" i="4" s="1"/>
  <c r="J304" i="4"/>
  <c r="J305" i="4" s="1"/>
  <c r="J274" i="4"/>
  <c r="J279" i="4" s="1"/>
  <c r="K274" i="4" l="1"/>
  <c r="K279" i="4" s="1"/>
  <c r="K304" i="4"/>
  <c r="K204" i="4"/>
  <c r="K313" i="4"/>
  <c r="K314" i="4" s="1"/>
  <c r="J318" i="4"/>
  <c r="N328" i="4"/>
  <c r="N342" i="4" s="1"/>
  <c r="L274" i="4" l="1"/>
  <c r="L279" i="4" s="1"/>
  <c r="L304" i="4"/>
  <c r="L305" i="4" s="1"/>
  <c r="K305" i="4"/>
  <c r="K206" i="4"/>
  <c r="L206" i="4"/>
  <c r="L318" i="4"/>
  <c r="K318" i="4"/>
  <c r="H93" i="4"/>
  <c r="G93" i="4"/>
  <c r="H122" i="4"/>
  <c r="G122" i="4"/>
  <c r="N304" i="4" l="1"/>
  <c r="N318" i="4"/>
  <c r="N204" i="4"/>
  <c r="N206" i="4" s="1"/>
  <c r="J93" i="4"/>
  <c r="N313" i="4"/>
  <c r="N314" i="4" s="1"/>
  <c r="N274" i="4"/>
  <c r="N279" i="4" s="1"/>
  <c r="J122" i="4"/>
  <c r="K122" i="4" l="1"/>
  <c r="L122" i="4" s="1"/>
  <c r="L126" i="4" s="1"/>
  <c r="O204" i="4"/>
  <c r="O206" i="4" s="1"/>
  <c r="O318" i="4"/>
  <c r="O304" i="4"/>
  <c r="O313" i="4"/>
  <c r="O314" i="4" s="1"/>
  <c r="O274" i="4"/>
  <c r="O279" i="4" s="1"/>
  <c r="J118" i="13"/>
  <c r="J120" i="13" s="1"/>
  <c r="I118" i="13"/>
  <c r="I120" i="13" s="1"/>
  <c r="I77" i="13"/>
  <c r="I81" i="13" s="1"/>
  <c r="J77" i="13"/>
  <c r="J81" i="13" s="1"/>
  <c r="O49" i="4"/>
  <c r="O50" i="4" s="1"/>
  <c r="K93" i="4" l="1"/>
  <c r="L93" i="4"/>
  <c r="L77" i="13"/>
  <c r="L81" i="13" s="1"/>
  <c r="L118" i="13"/>
  <c r="L120" i="13" s="1"/>
  <c r="N122" i="4" l="1"/>
  <c r="O122" i="4" s="1"/>
  <c r="M77" i="13"/>
  <c r="M118" i="13"/>
  <c r="M120" i="13" s="1"/>
  <c r="N77" i="13" l="1"/>
  <c r="M81" i="13"/>
  <c r="Q80" i="13" s="1"/>
  <c r="R80" i="13" s="1"/>
  <c r="N118" i="13"/>
  <c r="N120" i="13" s="1"/>
  <c r="N81" i="13" l="1"/>
  <c r="Q77" i="13"/>
  <c r="Q81" i="13" s="1"/>
  <c r="Q118" i="13"/>
  <c r="Q120" i="13" s="1"/>
  <c r="G175" i="4"/>
  <c r="H175" i="4"/>
  <c r="G167" i="4"/>
  <c r="H167" i="4"/>
  <c r="R77" i="13" l="1"/>
  <c r="R81" i="13" s="1"/>
  <c r="R118" i="13"/>
  <c r="R120" i="13" s="1"/>
  <c r="J167" i="4"/>
  <c r="J175" i="4"/>
  <c r="K175" i="4" s="1"/>
  <c r="L175" i="4" s="1"/>
  <c r="O253" i="4"/>
  <c r="G111" i="4"/>
  <c r="H111" i="4"/>
  <c r="K167" i="4" l="1"/>
  <c r="L167" i="4" s="1"/>
  <c r="N175" i="4"/>
  <c r="J111" i="4"/>
  <c r="K111" i="4" s="1"/>
  <c r="L111" i="4" s="1"/>
  <c r="G53" i="4"/>
  <c r="O175" i="4" l="1"/>
  <c r="N111" i="4"/>
  <c r="O111" i="4" s="1"/>
  <c r="I179" i="13"/>
  <c r="J179" i="13"/>
  <c r="N167" i="4" l="1"/>
  <c r="L179" i="13"/>
  <c r="M179" i="13" l="1"/>
  <c r="O167" i="4"/>
  <c r="G115" i="4"/>
  <c r="H115" i="4"/>
  <c r="G110" i="4"/>
  <c r="H110" i="4"/>
  <c r="N179" i="13" l="1"/>
  <c r="J110" i="4"/>
  <c r="K110" i="4" s="1"/>
  <c r="L110" i="4" s="1"/>
  <c r="J115" i="4"/>
  <c r="Q179" i="13" l="1"/>
  <c r="K115" i="4"/>
  <c r="L115" i="4" s="1"/>
  <c r="J180" i="13"/>
  <c r="I180" i="13"/>
  <c r="H97" i="4"/>
  <c r="G43" i="4"/>
  <c r="H129" i="4"/>
  <c r="G150" i="4"/>
  <c r="G129" i="4"/>
  <c r="G35" i="4"/>
  <c r="H35" i="4"/>
  <c r="G181" i="4"/>
  <c r="G182" i="4" s="1"/>
  <c r="H181" i="4"/>
  <c r="H182" i="4" s="1"/>
  <c r="H53" i="4"/>
  <c r="J53" i="4" s="1"/>
  <c r="K53" i="4" s="1"/>
  <c r="N53" i="4" s="1"/>
  <c r="G22" i="4"/>
  <c r="H22" i="4"/>
  <c r="H24" i="4" s="1"/>
  <c r="G81" i="4"/>
  <c r="H81" i="4"/>
  <c r="G44" i="4"/>
  <c r="H44" i="4"/>
  <c r="G86" i="4"/>
  <c r="H86" i="4"/>
  <c r="J97" i="4" l="1"/>
  <c r="K97" i="4" s="1"/>
  <c r="L97" i="4" s="1"/>
  <c r="N97" i="4" s="1"/>
  <c r="H101" i="4"/>
  <c r="L180" i="13"/>
  <c r="J129" i="4"/>
  <c r="J150" i="4"/>
  <c r="K150" i="4" s="1"/>
  <c r="L150" i="4" s="1"/>
  <c r="J22" i="4"/>
  <c r="J81" i="4"/>
  <c r="K81" i="4" s="1"/>
  <c r="J86" i="4"/>
  <c r="J35" i="4"/>
  <c r="J44" i="4"/>
  <c r="J181" i="4"/>
  <c r="J182" i="4" s="1"/>
  <c r="R255" i="13"/>
  <c r="R256" i="13" s="1"/>
  <c r="M180" i="13" l="1"/>
  <c r="K35" i="4"/>
  <c r="O97" i="4"/>
  <c r="K86" i="4"/>
  <c r="L86" i="4" s="1"/>
  <c r="K44" i="4"/>
  <c r="L44" i="4" s="1"/>
  <c r="K22" i="4"/>
  <c r="N115" i="4"/>
  <c r="K129" i="4"/>
  <c r="N150" i="4"/>
  <c r="N151" i="4" s="1"/>
  <c r="K181" i="4"/>
  <c r="N180" i="13" l="1"/>
  <c r="N184" i="13" s="1"/>
  <c r="N35" i="4"/>
  <c r="K182" i="4"/>
  <c r="L182" i="4"/>
  <c r="N129" i="4"/>
  <c r="N44" i="4"/>
  <c r="O44" i="4" s="1"/>
  <c r="O115" i="4"/>
  <c r="N54" i="4"/>
  <c r="Q180" i="13" l="1"/>
  <c r="N22" i="4"/>
  <c r="N86" i="4"/>
  <c r="N181" i="4"/>
  <c r="N182" i="4" s="1"/>
  <c r="N81" i="4"/>
  <c r="R180" i="13" l="1"/>
  <c r="O181" i="4"/>
  <c r="O182" i="4" s="1"/>
  <c r="R209" i="13" l="1"/>
  <c r="R215" i="13" s="1"/>
  <c r="O64" i="4" l="1"/>
  <c r="O35" i="4"/>
  <c r="I32" i="13" l="1"/>
  <c r="I35" i="13" s="1"/>
  <c r="J32" i="13"/>
  <c r="J35" i="13" s="1"/>
  <c r="I181" i="13"/>
  <c r="I184" i="13" s="1"/>
  <c r="J181" i="13"/>
  <c r="J184" i="13" s="1"/>
  <c r="L181" i="13" l="1"/>
  <c r="L184" i="13" s="1"/>
  <c r="L32" i="13"/>
  <c r="L35" i="13" s="1"/>
  <c r="J263" i="13"/>
  <c r="J264" i="13" s="1"/>
  <c r="I263" i="13"/>
  <c r="I264" i="13" s="1"/>
  <c r="M181" i="13" l="1"/>
  <c r="M184" i="13" s="1"/>
  <c r="L263" i="13"/>
  <c r="L264" i="13" s="1"/>
  <c r="M32" i="13"/>
  <c r="R23" i="13"/>
  <c r="R26" i="13" s="1"/>
  <c r="H59" i="4"/>
  <c r="H174" i="4"/>
  <c r="G59" i="4"/>
  <c r="G60" i="4" s="1"/>
  <c r="G174" i="4"/>
  <c r="N35" i="13" l="1"/>
  <c r="M35" i="13"/>
  <c r="H60" i="4"/>
  <c r="H178" i="4"/>
  <c r="G178" i="4"/>
  <c r="J59" i="4"/>
  <c r="J60" i="4" s="1"/>
  <c r="M263" i="13"/>
  <c r="N263" i="13" s="1"/>
  <c r="J174" i="4"/>
  <c r="K174" i="4" s="1"/>
  <c r="L174" i="4" s="1"/>
  <c r="H160" i="4"/>
  <c r="G160" i="4"/>
  <c r="J178" i="4" l="1"/>
  <c r="K59" i="4"/>
  <c r="N264" i="13"/>
  <c r="M264" i="13"/>
  <c r="N174" i="4"/>
  <c r="Q181" i="13"/>
  <c r="Q184" i="13" s="1"/>
  <c r="Q32" i="13"/>
  <c r="Q35" i="13" s="1"/>
  <c r="J160" i="4"/>
  <c r="O86" i="4"/>
  <c r="K178" i="4" l="1"/>
  <c r="L178" i="4"/>
  <c r="K60" i="4"/>
  <c r="N59" i="4"/>
  <c r="N60" i="4" s="1"/>
  <c r="O174" i="4"/>
  <c r="Q263" i="13"/>
  <c r="Q264" i="13" s="1"/>
  <c r="R181" i="13"/>
  <c r="R32" i="13"/>
  <c r="R35" i="13" s="1"/>
  <c r="K160" i="4"/>
  <c r="L60" i="4" l="1"/>
  <c r="N178" i="4"/>
  <c r="L160" i="4"/>
  <c r="R263" i="13"/>
  <c r="R264" i="13" s="1"/>
  <c r="J239" i="13"/>
  <c r="I239" i="13"/>
  <c r="J272" i="13"/>
  <c r="I272" i="13"/>
  <c r="I153" i="13"/>
  <c r="I156" i="13" s="1"/>
  <c r="J64" i="13"/>
  <c r="J66" i="13" s="1"/>
  <c r="I64" i="13"/>
  <c r="I66" i="13" s="1"/>
  <c r="I240" i="13" l="1"/>
  <c r="J240" i="13"/>
  <c r="J273" i="13"/>
  <c r="I273" i="13"/>
  <c r="O59" i="4"/>
  <c r="O60" i="4" s="1"/>
  <c r="O178" i="4"/>
  <c r="L153" i="13"/>
  <c r="L156" i="13" s="1"/>
  <c r="L239" i="13"/>
  <c r="L64" i="13"/>
  <c r="L66" i="13" s="1"/>
  <c r="L272" i="13"/>
  <c r="N160" i="4"/>
  <c r="O328" i="4"/>
  <c r="G236" i="4"/>
  <c r="H236" i="4"/>
  <c r="H238" i="4" s="1"/>
  <c r="G237" i="4"/>
  <c r="H186" i="4"/>
  <c r="H187" i="4" s="1"/>
  <c r="G186" i="4"/>
  <c r="G227" i="4"/>
  <c r="H227" i="4"/>
  <c r="G223" i="4"/>
  <c r="H223" i="4"/>
  <c r="G217" i="4"/>
  <c r="G219" i="4" s="1"/>
  <c r="H217" i="4"/>
  <c r="H219" i="4" s="1"/>
  <c r="H199" i="4"/>
  <c r="H200" i="4" s="1"/>
  <c r="H162" i="4"/>
  <c r="G162" i="4"/>
  <c r="G163" i="4" s="1"/>
  <c r="H189" i="4"/>
  <c r="G189" i="4"/>
  <c r="H191" i="4"/>
  <c r="H170" i="4"/>
  <c r="G170" i="4"/>
  <c r="H155" i="4"/>
  <c r="H156" i="4" s="1"/>
  <c r="G155" i="4"/>
  <c r="G156" i="4" s="1"/>
  <c r="H125" i="4"/>
  <c r="G125" i="4"/>
  <c r="H135" i="4"/>
  <c r="G135" i="4"/>
  <c r="G138" i="4" s="1"/>
  <c r="H130" i="4"/>
  <c r="H131" i="4" s="1"/>
  <c r="G130" i="4"/>
  <c r="G131" i="4" s="1"/>
  <c r="H137" i="4"/>
  <c r="H168" i="4"/>
  <c r="G168" i="4"/>
  <c r="H109" i="4"/>
  <c r="H113" i="4" s="1"/>
  <c r="G109" i="4"/>
  <c r="G113" i="4" s="1"/>
  <c r="H123" i="4"/>
  <c r="G123" i="4"/>
  <c r="G98" i="4"/>
  <c r="G101" i="4" s="1"/>
  <c r="H87" i="4"/>
  <c r="G87" i="4"/>
  <c r="H42" i="4"/>
  <c r="G42" i="4"/>
  <c r="H43" i="4"/>
  <c r="H117" i="4"/>
  <c r="H119" i="4" s="1"/>
  <c r="G117" i="4"/>
  <c r="G119" i="4" s="1"/>
  <c r="H151" i="4"/>
  <c r="G106" i="4"/>
  <c r="G80" i="4"/>
  <c r="G83" i="4" s="1"/>
  <c r="H80" i="4"/>
  <c r="H83" i="4" s="1"/>
  <c r="G146" i="4"/>
  <c r="G147" i="4" s="1"/>
  <c r="H146" i="4"/>
  <c r="H147" i="4" s="1"/>
  <c r="G20" i="4"/>
  <c r="G24" i="4" s="1"/>
  <c r="G27" i="4"/>
  <c r="G28" i="4" s="1"/>
  <c r="G74" i="4"/>
  <c r="G77" i="4" s="1"/>
  <c r="H74" i="4"/>
  <c r="H77" i="4" s="1"/>
  <c r="G69" i="4"/>
  <c r="G70" i="4" s="1"/>
  <c r="H69" i="4"/>
  <c r="H70" i="4" s="1"/>
  <c r="G45" i="4"/>
  <c r="H45" i="4"/>
  <c r="G36" i="4"/>
  <c r="G39" i="4" s="1"/>
  <c r="H36" i="4"/>
  <c r="H39" i="4" s="1"/>
  <c r="H65" i="4"/>
  <c r="H66" i="4" s="1"/>
  <c r="G65" i="4"/>
  <c r="G66" i="4" s="1"/>
  <c r="N125" i="4" l="1"/>
  <c r="H126" i="4"/>
  <c r="G126" i="4"/>
  <c r="H138" i="4"/>
  <c r="G46" i="4"/>
  <c r="H46" i="4"/>
  <c r="G171" i="4"/>
  <c r="H171" i="4"/>
  <c r="G89" i="4"/>
  <c r="H89" i="4"/>
  <c r="H192" i="4"/>
  <c r="J189" i="4"/>
  <c r="K189" i="4" s="1"/>
  <c r="L189" i="4" s="1"/>
  <c r="G192" i="4"/>
  <c r="L240" i="13"/>
  <c r="H163" i="4"/>
  <c r="L273" i="13"/>
  <c r="G187" i="4"/>
  <c r="G224" i="4"/>
  <c r="G238" i="4"/>
  <c r="G151" i="4"/>
  <c r="H228" i="4"/>
  <c r="G228" i="4"/>
  <c r="G54" i="4"/>
  <c r="H54" i="4"/>
  <c r="H224" i="4"/>
  <c r="G214" i="4"/>
  <c r="H214" i="4"/>
  <c r="J43" i="4"/>
  <c r="J98" i="4"/>
  <c r="J101" i="4" s="1"/>
  <c r="J106" i="4"/>
  <c r="J27" i="4"/>
  <c r="M239" i="13"/>
  <c r="M153" i="13"/>
  <c r="M156" i="13" s="1"/>
  <c r="M272" i="13"/>
  <c r="N272" i="13" s="1"/>
  <c r="M64" i="13"/>
  <c r="M66" i="13" s="1"/>
  <c r="J42" i="4"/>
  <c r="J223" i="4"/>
  <c r="J87" i="4"/>
  <c r="J168" i="4"/>
  <c r="J65" i="4"/>
  <c r="J66" i="4" s="1"/>
  <c r="O160" i="4"/>
  <c r="J117" i="4"/>
  <c r="K117" i="4" s="1"/>
  <c r="L117" i="4" s="1"/>
  <c r="J135" i="4"/>
  <c r="J109" i="4"/>
  <c r="J113" i="4" s="1"/>
  <c r="J45" i="4"/>
  <c r="J146" i="4"/>
  <c r="J170" i="4"/>
  <c r="J162" i="4"/>
  <c r="J163" i="4" s="1"/>
  <c r="J237" i="4"/>
  <c r="K237" i="4" s="1"/>
  <c r="J199" i="4"/>
  <c r="J217" i="4"/>
  <c r="J236" i="4"/>
  <c r="K236" i="4" s="1"/>
  <c r="L236" i="4" s="1"/>
  <c r="J80" i="4"/>
  <c r="J83" i="4" s="1"/>
  <c r="J191" i="4"/>
  <c r="K191" i="4" s="1"/>
  <c r="J227" i="4"/>
  <c r="K227" i="4" s="1"/>
  <c r="L227" i="4" s="1"/>
  <c r="J69" i="4"/>
  <c r="J74" i="4"/>
  <c r="J77" i="4" s="1"/>
  <c r="J125" i="4"/>
  <c r="J137" i="4"/>
  <c r="J36" i="4"/>
  <c r="J39" i="4" s="1"/>
  <c r="J20" i="4"/>
  <c r="J123" i="4"/>
  <c r="J130" i="4"/>
  <c r="J155" i="4"/>
  <c r="J156" i="4" s="1"/>
  <c r="J186" i="4"/>
  <c r="O254" i="4"/>
  <c r="O246" i="4"/>
  <c r="O252" i="4"/>
  <c r="O249" i="4"/>
  <c r="O248" i="4"/>
  <c r="O247" i="4"/>
  <c r="O150" i="4"/>
  <c r="O151" i="4" s="1"/>
  <c r="O92" i="4"/>
  <c r="O93" i="4" s="1"/>
  <c r="O329" i="4"/>
  <c r="O330" i="4"/>
  <c r="G15" i="14"/>
  <c r="G21" i="14" s="1"/>
  <c r="N227" i="4" l="1"/>
  <c r="J126" i="4"/>
  <c r="J138" i="4"/>
  <c r="K130" i="4"/>
  <c r="J131" i="4"/>
  <c r="J119" i="4"/>
  <c r="J46" i="4"/>
  <c r="K146" i="4"/>
  <c r="J147" i="4"/>
  <c r="O342" i="4"/>
  <c r="K238" i="4"/>
  <c r="J15" i="14"/>
  <c r="J21" i="14" s="1"/>
  <c r="J171" i="4"/>
  <c r="K125" i="4"/>
  <c r="K98" i="4"/>
  <c r="L98" i="4" s="1"/>
  <c r="J89" i="4"/>
  <c r="J192" i="4"/>
  <c r="J219" i="4"/>
  <c r="K217" i="4"/>
  <c r="K228" i="4"/>
  <c r="K214" i="4"/>
  <c r="J28" i="4"/>
  <c r="K27" i="4"/>
  <c r="K28" i="4" s="1"/>
  <c r="K223" i="4"/>
  <c r="J200" i="4"/>
  <c r="K199" i="4"/>
  <c r="L199" i="4" s="1"/>
  <c r="J70" i="4"/>
  <c r="K69" i="4"/>
  <c r="L69" i="4" s="1"/>
  <c r="K74" i="4"/>
  <c r="K65" i="4"/>
  <c r="K42" i="4"/>
  <c r="L42" i="4" s="1"/>
  <c r="K45" i="4"/>
  <c r="L45" i="4" s="1"/>
  <c r="K36" i="4"/>
  <c r="K39" i="4" s="1"/>
  <c r="J24" i="4"/>
  <c r="K20" i="4"/>
  <c r="M240" i="13"/>
  <c r="J224" i="4"/>
  <c r="M273" i="13"/>
  <c r="J238" i="4"/>
  <c r="J54" i="4"/>
  <c r="J228" i="4"/>
  <c r="J151" i="4"/>
  <c r="K43" i="4"/>
  <c r="J187" i="4"/>
  <c r="J214" i="4"/>
  <c r="K135" i="4"/>
  <c r="K151" i="4"/>
  <c r="K168" i="4"/>
  <c r="K87" i="4"/>
  <c r="N64" i="13"/>
  <c r="N66" i="13" s="1"/>
  <c r="K119" i="4"/>
  <c r="N153" i="13"/>
  <c r="N156" i="13" s="1"/>
  <c r="N239" i="13"/>
  <c r="N191" i="4"/>
  <c r="N189" i="4"/>
  <c r="K186" i="4"/>
  <c r="L186" i="4" s="1"/>
  <c r="K155" i="4"/>
  <c r="L155" i="4" s="1"/>
  <c r="K162" i="4"/>
  <c r="K192" i="4"/>
  <c r="K170" i="4"/>
  <c r="L170" i="4" s="1"/>
  <c r="K137" i="4"/>
  <c r="L137" i="4" s="1"/>
  <c r="K123" i="4"/>
  <c r="K109" i="4"/>
  <c r="L109" i="4" s="1"/>
  <c r="K80" i="4"/>
  <c r="K21" i="4"/>
  <c r="L21" i="4" s="1"/>
  <c r="O68" i="4"/>
  <c r="O143" i="4"/>
  <c r="O245" i="4"/>
  <c r="O271" i="4" s="1"/>
  <c r="O53" i="4"/>
  <c r="O54" i="4" s="1"/>
  <c r="O22" i="4"/>
  <c r="O129" i="4"/>
  <c r="O81" i="4"/>
  <c r="O134" i="4"/>
  <c r="K77" i="4" l="1"/>
  <c r="L74" i="4"/>
  <c r="L80" i="4"/>
  <c r="L83" i="4" s="1"/>
  <c r="K83" i="4"/>
  <c r="N146" i="4"/>
  <c r="O146" i="4" s="1"/>
  <c r="K163" i="4"/>
  <c r="L162" i="4"/>
  <c r="N223" i="4"/>
  <c r="O223" i="4" s="1"/>
  <c r="K156" i="4"/>
  <c r="K219" i="4"/>
  <c r="L219" i="4"/>
  <c r="L138" i="4"/>
  <c r="K113" i="4"/>
  <c r="K147" i="4"/>
  <c r="L147" i="4"/>
  <c r="K126" i="4"/>
  <c r="K89" i="4"/>
  <c r="L89" i="4"/>
  <c r="K66" i="4"/>
  <c r="L66" i="4"/>
  <c r="K138" i="4"/>
  <c r="K131" i="4"/>
  <c r="N117" i="4"/>
  <c r="L119" i="4"/>
  <c r="L101" i="4"/>
  <c r="K101" i="4"/>
  <c r="L77" i="4"/>
  <c r="K70" i="4"/>
  <c r="L70" i="4"/>
  <c r="L46" i="4"/>
  <c r="K46" i="4"/>
  <c r="L36" i="4"/>
  <c r="L39" i="4" s="1"/>
  <c r="N192" i="4"/>
  <c r="K24" i="4"/>
  <c r="K171" i="4"/>
  <c r="K224" i="4"/>
  <c r="O189" i="4"/>
  <c r="K54" i="4"/>
  <c r="N45" i="4"/>
  <c r="O45" i="4" s="1"/>
  <c r="N240" i="13"/>
  <c r="O191" i="4"/>
  <c r="L192" i="4"/>
  <c r="K200" i="4"/>
  <c r="L200" i="4"/>
  <c r="K15" i="14"/>
  <c r="L54" i="4"/>
  <c r="K106" i="4"/>
  <c r="L106" i="4"/>
  <c r="N273" i="13"/>
  <c r="K187" i="4"/>
  <c r="L238" i="4"/>
  <c r="L151" i="4"/>
  <c r="L27" i="4"/>
  <c r="L28" i="4" s="1"/>
  <c r="N135" i="4"/>
  <c r="L156" i="4"/>
  <c r="L20" i="4"/>
  <c r="L24" i="4" s="1"/>
  <c r="Q153" i="13"/>
  <c r="Q156" i="13" s="1"/>
  <c r="Q272" i="13"/>
  <c r="Q273" i="13" s="1"/>
  <c r="Q239" i="13"/>
  <c r="Q240" i="13" s="1"/>
  <c r="Q64" i="13"/>
  <c r="Q66" i="13" s="1"/>
  <c r="L187" i="4"/>
  <c r="L21" i="14" l="1"/>
  <c r="K21" i="14"/>
  <c r="L224" i="4"/>
  <c r="N65" i="4"/>
  <c r="N66" i="4" s="1"/>
  <c r="L131" i="4"/>
  <c r="N130" i="4"/>
  <c r="O117" i="4"/>
  <c r="O119" i="4" s="1"/>
  <c r="N119" i="4"/>
  <c r="N42" i="4"/>
  <c r="O42" i="4" s="1"/>
  <c r="O192" i="4"/>
  <c r="L171" i="4"/>
  <c r="N98" i="4"/>
  <c r="N101" i="4" s="1"/>
  <c r="L228" i="4"/>
  <c r="L163" i="4"/>
  <c r="N162" i="4"/>
  <c r="N163" i="4" s="1"/>
  <c r="N43" i="4"/>
  <c r="N236" i="4"/>
  <c r="N168" i="4"/>
  <c r="N80" i="4"/>
  <c r="N83" i="4" s="1"/>
  <c r="L214" i="4"/>
  <c r="N87" i="4"/>
  <c r="N89" i="4" s="1"/>
  <c r="N27" i="4"/>
  <c r="N106" i="4"/>
  <c r="O135" i="4"/>
  <c r="R272" i="13"/>
  <c r="R273" i="13" s="1"/>
  <c r="R239" i="13"/>
  <c r="R240" i="13" s="1"/>
  <c r="R153" i="13"/>
  <c r="R156" i="13" s="1"/>
  <c r="R64" i="13"/>
  <c r="R66" i="13" s="1"/>
  <c r="N186" i="4"/>
  <c r="N187" i="4" s="1"/>
  <c r="N237" i="4"/>
  <c r="N224" i="4"/>
  <c r="N217" i="4"/>
  <c r="N219" i="4" s="1"/>
  <c r="N228" i="4"/>
  <c r="N155" i="4"/>
  <c r="N156" i="4" s="1"/>
  <c r="N199" i="4"/>
  <c r="N200" i="4" s="1"/>
  <c r="N170" i="4"/>
  <c r="N137" i="4"/>
  <c r="N138" i="4" s="1"/>
  <c r="N123" i="4"/>
  <c r="N21" i="4"/>
  <c r="N69" i="4"/>
  <c r="N70" i="4" s="1"/>
  <c r="N74" i="4"/>
  <c r="N77" i="4" s="1"/>
  <c r="N36" i="4"/>
  <c r="N39" i="4" s="1"/>
  <c r="N20" i="4"/>
  <c r="I11" i="13"/>
  <c r="N15" i="14" l="1"/>
  <c r="N21" i="14" s="1"/>
  <c r="O65" i="4"/>
  <c r="O66" i="4" s="1"/>
  <c r="N28" i="4"/>
  <c r="O27" i="4"/>
  <c r="O28" i="4" s="1"/>
  <c r="N131" i="4"/>
  <c r="O130" i="4"/>
  <c r="O131" i="4" s="1"/>
  <c r="N126" i="4"/>
  <c r="N46" i="4"/>
  <c r="N171" i="4"/>
  <c r="N147" i="4"/>
  <c r="N24" i="4"/>
  <c r="N238" i="4"/>
  <c r="O125" i="4"/>
  <c r="O98" i="4"/>
  <c r="O101" i="4" s="1"/>
  <c r="O236" i="4"/>
  <c r="O43" i="4"/>
  <c r="O46" i="4" s="1"/>
  <c r="O168" i="4"/>
  <c r="O80" i="4"/>
  <c r="O83" i="4" s="1"/>
  <c r="O87" i="4"/>
  <c r="O89" i="4" s="1"/>
  <c r="I129" i="13"/>
  <c r="O106" i="4"/>
  <c r="L9" i="13"/>
  <c r="L11" i="13" s="1"/>
  <c r="O186" i="4"/>
  <c r="O187" i="4" s="1"/>
  <c r="O237" i="4"/>
  <c r="O217" i="4"/>
  <c r="O219" i="4" s="1"/>
  <c r="O224" i="4"/>
  <c r="O227" i="4"/>
  <c r="O228" i="4" s="1"/>
  <c r="O162" i="4"/>
  <c r="O163" i="4" s="1"/>
  <c r="O155" i="4"/>
  <c r="O156" i="4" s="1"/>
  <c r="O199" i="4"/>
  <c r="O200" i="4" s="1"/>
  <c r="O170" i="4"/>
  <c r="O137" i="4"/>
  <c r="O138" i="4" s="1"/>
  <c r="O123" i="4"/>
  <c r="O36" i="4"/>
  <c r="O39" i="4" s="1"/>
  <c r="O69" i="4"/>
  <c r="O70" i="4" s="1"/>
  <c r="O74" i="4"/>
  <c r="O77" i="4" s="1"/>
  <c r="O20" i="4"/>
  <c r="O21" i="4"/>
  <c r="O15" i="14" l="1"/>
  <c r="O21" i="14" s="1"/>
  <c r="O126" i="4"/>
  <c r="O147" i="4"/>
  <c r="O171" i="4"/>
  <c r="O24" i="4"/>
  <c r="O238" i="4"/>
  <c r="L129" i="13"/>
  <c r="M9" i="13"/>
  <c r="M11" i="13" s="1"/>
  <c r="M129" i="13" l="1"/>
  <c r="N9" i="13"/>
  <c r="N11" i="13" s="1"/>
  <c r="Q1048212" i="13"/>
  <c r="B64884" i="13"/>
  <c r="B64886" i="13" s="1"/>
  <c r="N129" i="13" l="1"/>
  <c r="Q9" i="13"/>
  <c r="Q11" i="13" s="1"/>
  <c r="R9" i="13" l="1"/>
  <c r="R11" i="13" s="1"/>
  <c r="R179" i="13"/>
  <c r="R184" i="13" s="1"/>
  <c r="B16859" i="4"/>
  <c r="B16861" i="4" s="1"/>
  <c r="H209" i="4"/>
  <c r="G209" i="4"/>
  <c r="G210" i="4" l="1"/>
  <c r="G344" i="4" s="1"/>
  <c r="H210" i="4"/>
  <c r="H344" i="4" s="1"/>
  <c r="J209" i="4"/>
  <c r="J210" i="4" s="1"/>
  <c r="J344" i="4" s="1"/>
  <c r="K209" i="4" l="1"/>
  <c r="K210" i="4" l="1"/>
  <c r="K344" i="4" s="1"/>
  <c r="L210" i="4"/>
  <c r="M877147" i="14"/>
  <c r="N209" i="4" l="1"/>
  <c r="N210" i="4" s="1"/>
  <c r="O209" i="4" l="1"/>
  <c r="O210" i="4" s="1"/>
  <c r="B53" i="16" l="1"/>
  <c r="B57" i="16" s="1"/>
  <c r="B58" i="16" s="1"/>
  <c r="B61" i="16" s="1"/>
  <c r="B65" i="16" s="1"/>
  <c r="B69" i="16" s="1"/>
  <c r="B73" i="16" s="1"/>
  <c r="B77" i="16" l="1"/>
  <c r="B78" i="16" s="1"/>
  <c r="B82" i="16" s="1"/>
  <c r="B83" i="16" s="1"/>
  <c r="B87" i="16" s="1"/>
  <c r="B93" i="16" l="1"/>
  <c r="B97" i="16" s="1"/>
  <c r="B101" i="16" s="1"/>
  <c r="B105" i="16" s="1"/>
  <c r="B109" i="16" s="1"/>
  <c r="B113" i="16" s="1"/>
  <c r="B114" i="16" s="1"/>
  <c r="B118" i="16" l="1"/>
  <c r="P269" i="13" l="1"/>
  <c r="N297" i="4" l="1"/>
  <c r="N305" i="4" s="1"/>
  <c r="O297" i="4" l="1"/>
  <c r="O305" i="4" s="1"/>
  <c r="A24" i="13" l="1"/>
  <c r="A25" i="13" s="1"/>
  <c r="A29" i="13" s="1"/>
  <c r="A30" i="13" l="1"/>
  <c r="A31" i="13" s="1"/>
  <c r="A32" i="13" s="1"/>
  <c r="A33" i="13" s="1"/>
  <c r="A34" i="13" s="1"/>
  <c r="A38" i="13" s="1"/>
  <c r="A39" i="13" l="1"/>
  <c r="A40" i="13" s="1"/>
  <c r="A41" i="13" s="1"/>
  <c r="A42" i="13" s="1"/>
  <c r="A43" i="13" s="1"/>
  <c r="A44" i="13" s="1"/>
  <c r="A48" i="13" s="1"/>
  <c r="A51" i="13" l="1"/>
  <c r="A52" i="13" s="1"/>
  <c r="A56" i="13" s="1"/>
  <c r="L78" i="16" l="1"/>
  <c r="L79" i="16" s="1"/>
  <c r="J79" i="16"/>
  <c r="A20" i="4" l="1"/>
  <c r="A21" i="4" l="1"/>
  <c r="A22" i="4" s="1"/>
  <c r="A23" i="4" s="1"/>
  <c r="J84" i="16"/>
  <c r="K83" i="16"/>
  <c r="K84" i="16" s="1"/>
  <c r="A27" i="4" l="1"/>
  <c r="A31" i="4" s="1"/>
  <c r="A35" i="4" s="1"/>
  <c r="L83" i="16"/>
  <c r="L84" i="16" s="1"/>
  <c r="A36" i="4" l="1"/>
  <c r="A37" i="4" s="1"/>
  <c r="A38" i="4" s="1"/>
  <c r="A41" i="4" s="1"/>
  <c r="A42" i="4" l="1"/>
  <c r="A43" i="4" s="1"/>
  <c r="A44" i="4" s="1"/>
  <c r="A45" i="4" s="1"/>
  <c r="A49" i="4" s="1"/>
  <c r="A53" i="4" s="1"/>
  <c r="A57" i="4" s="1"/>
  <c r="A58" i="4" s="1"/>
  <c r="A59" i="4" l="1"/>
  <c r="A63" i="4" l="1"/>
  <c r="A64" i="4" s="1"/>
  <c r="A65" i="4" l="1"/>
  <c r="A68" i="4" s="1"/>
  <c r="A69" i="4" s="1"/>
  <c r="A73" i="4" s="1"/>
  <c r="A74" i="4" s="1"/>
  <c r="A75" i="4" s="1"/>
  <c r="A76" i="4" l="1"/>
  <c r="A80" i="4" s="1"/>
  <c r="A81" i="4" s="1"/>
  <c r="A82" i="4" s="1"/>
  <c r="A86" i="4" s="1"/>
  <c r="A87" i="4" s="1"/>
  <c r="A88" i="4" s="1"/>
  <c r="A92" i="4" l="1"/>
  <c r="A96" i="4" s="1"/>
  <c r="A97" i="4" l="1"/>
  <c r="A98" i="4" s="1"/>
  <c r="A99" i="4" s="1"/>
  <c r="A100" i="4" l="1"/>
  <c r="A104" i="4" s="1"/>
  <c r="A105" i="4" s="1"/>
  <c r="A109" i="4" s="1"/>
  <c r="A110" i="4" s="1"/>
  <c r="A111" i="4" s="1"/>
  <c r="A112" i="4" l="1"/>
  <c r="A115" i="4" s="1"/>
  <c r="A116" i="4" s="1"/>
  <c r="A117" i="4" s="1"/>
  <c r="A118" i="4" s="1"/>
  <c r="A122" i="4" s="1"/>
  <c r="A123" i="4" l="1"/>
  <c r="A124" i="4" s="1"/>
  <c r="A125" i="4" s="1"/>
  <c r="A129" i="4" l="1"/>
  <c r="A130" i="4" s="1"/>
  <c r="A134" i="4" s="1"/>
  <c r="A135" i="4" s="1"/>
  <c r="A136" i="4" s="1"/>
  <c r="A137" i="4" s="1"/>
  <c r="A141" i="4" s="1"/>
  <c r="A142" i="4" s="1"/>
  <c r="A146" i="4" l="1"/>
  <c r="A150" i="4" s="1"/>
  <c r="A155" i="4" s="1"/>
  <c r="A159" i="4" l="1"/>
  <c r="A162" i="4" s="1"/>
  <c r="A166" i="4" s="1"/>
  <c r="A167" i="4" s="1"/>
  <c r="A168" i="4" s="1"/>
  <c r="A169" i="4" s="1"/>
  <c r="A170" i="4" s="1"/>
  <c r="A174" i="4" l="1"/>
  <c r="A175" i="4" s="1"/>
  <c r="A176" i="4" s="1"/>
  <c r="A177" i="4" s="1"/>
  <c r="A181" i="4" s="1"/>
  <c r="A185" i="4" s="1"/>
  <c r="A186" i="4" s="1"/>
  <c r="A189" i="4" s="1"/>
  <c r="A190" i="4" s="1"/>
  <c r="A191" i="4" s="1"/>
  <c r="A195" i="4" s="1"/>
  <c r="A199" i="4" s="1"/>
  <c r="A203" i="4" s="1"/>
  <c r="A204" i="4" s="1"/>
  <c r="A213" i="4"/>
  <c r="A217" i="4" s="1"/>
  <c r="A218" i="4" s="1"/>
  <c r="N109" i="4"/>
  <c r="A223" i="4" l="1"/>
  <c r="A227" i="4" s="1"/>
  <c r="A231" i="4" s="1"/>
  <c r="A232" i="4" s="1"/>
  <c r="A236" i="4" s="1"/>
  <c r="A237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N110" i="4"/>
  <c r="O110" i="4" s="1"/>
  <c r="L113" i="4"/>
  <c r="L344" i="4" s="1"/>
  <c r="O109" i="4"/>
  <c r="A264" i="4" l="1"/>
  <c r="A265" i="4" s="1"/>
  <c r="A266" i="4" s="1"/>
  <c r="A267" i="4" s="1"/>
  <c r="A268" i="4" s="1"/>
  <c r="A269" i="4" s="1"/>
  <c r="A270" i="4" s="1"/>
  <c r="N113" i="4"/>
  <c r="N344" i="4" s="1"/>
  <c r="O113" i="4"/>
  <c r="O344" i="4" s="1"/>
  <c r="L115" i="16" l="1"/>
  <c r="A274" i="4"/>
  <c r="A308" i="4" l="1"/>
  <c r="A312" i="4" s="1"/>
  <c r="A313" i="4" s="1"/>
  <c r="A317" i="4" s="1"/>
  <c r="A321" i="4" s="1"/>
  <c r="N93" i="13"/>
  <c r="A322" i="4" l="1"/>
  <c r="A323" i="4" s="1"/>
  <c r="A328" i="4" s="1"/>
  <c r="Q92" i="13"/>
  <c r="Q93" i="13" s="1"/>
  <c r="A57" i="13"/>
  <c r="A61" i="13" s="1"/>
  <c r="A64" i="13" s="1"/>
  <c r="A65" i="13" s="1"/>
  <c r="A69" i="13" s="1"/>
  <c r="A73" i="13" s="1"/>
  <c r="A77" i="13" s="1"/>
  <c r="A78" i="13" s="1"/>
  <c r="A79" i="13" s="1"/>
  <c r="A80" i="13" s="1"/>
  <c r="A84" i="13" s="1"/>
  <c r="A85" i="13" s="1"/>
  <c r="A86" i="13" s="1"/>
  <c r="A87" i="13" l="1"/>
  <c r="A91" i="13" s="1"/>
  <c r="A92" i="13" s="1"/>
  <c r="A95" i="13" s="1"/>
  <c r="A96" i="13" s="1"/>
  <c r="A100" i="13" s="1"/>
  <c r="A104" i="13" s="1"/>
  <c r="A105" i="13" s="1"/>
  <c r="A106" i="13" s="1"/>
  <c r="A107" i="13" s="1"/>
  <c r="A110" i="13" s="1"/>
  <c r="A111" i="13" s="1"/>
  <c r="A114" i="13" s="1"/>
  <c r="A118" i="13" s="1"/>
  <c r="A329" i="4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R92" i="13"/>
  <c r="R93" i="13" s="1"/>
  <c r="A119" i="13" l="1"/>
  <c r="A122" i="13" s="1"/>
  <c r="A126" i="13" s="1"/>
  <c r="A127" i="13" s="1"/>
  <c r="A128" i="13" l="1"/>
  <c r="A133" i="13" s="1"/>
  <c r="A139" i="13" s="1"/>
  <c r="A140" i="13" s="1"/>
  <c r="A144" i="13" s="1"/>
  <c r="A145" i="13" s="1"/>
  <c r="A148" i="13" s="1"/>
  <c r="A149" i="13" s="1"/>
  <c r="A153" i="13" s="1"/>
  <c r="A154" i="13" s="1"/>
  <c r="A155" i="13" s="1"/>
  <c r="A159" i="13" s="1"/>
  <c r="A160" i="13" s="1"/>
  <c r="A164" i="13" s="1"/>
  <c r="A169" i="13" s="1"/>
  <c r="A165" i="13" l="1"/>
  <c r="A170" i="13" s="1"/>
  <c r="A174" i="13" s="1"/>
  <c r="A178" i="13" s="1"/>
  <c r="A179" i="13" s="1"/>
  <c r="A180" i="13"/>
  <c r="A181" i="13" s="1"/>
  <c r="A182" i="13" s="1"/>
  <c r="A231" i="13"/>
  <c r="A235" i="13" s="1"/>
  <c r="A239" i="13" s="1"/>
  <c r="A187" i="13" l="1"/>
  <c r="A191" i="13" s="1"/>
  <c r="A192" i="13" s="1"/>
  <c r="A183" i="13"/>
  <c r="A243" i="13"/>
  <c r="A246" i="13" s="1"/>
  <c r="A193" i="13" l="1"/>
  <c r="A247" i="13"/>
  <c r="A250" i="13" s="1"/>
  <c r="A254" i="13" l="1"/>
  <c r="A255" i="13" s="1"/>
  <c r="A259" i="13" s="1"/>
  <c r="A263" i="13" s="1"/>
  <c r="A267" i="13" s="1"/>
  <c r="A268" i="13" s="1"/>
  <c r="A272" i="13" s="1"/>
  <c r="A194" i="13"/>
  <c r="A195" i="13" s="1"/>
  <c r="A199" i="13" s="1"/>
  <c r="A200" i="13" s="1"/>
  <c r="A204" i="13" s="1"/>
  <c r="N150" i="13"/>
  <c r="A208" i="13" l="1"/>
  <c r="A209" i="13" s="1"/>
  <c r="A210" i="13" s="1"/>
  <c r="A211" i="13" s="1"/>
  <c r="A212" i="13" s="1"/>
  <c r="A213" i="13" s="1"/>
  <c r="A214" i="13" s="1"/>
  <c r="A218" i="13" s="1"/>
  <c r="A219" i="13" s="1"/>
  <c r="A220" i="13" s="1"/>
  <c r="A224" i="13" s="1"/>
  <c r="A225" i="13" s="1"/>
  <c r="Q148" i="13"/>
  <c r="Q150" i="13" l="1"/>
  <c r="R148" i="13"/>
  <c r="R150" i="13" s="1"/>
  <c r="R275" i="13" s="1"/>
  <c r="I275" i="13"/>
  <c r="P275" i="13"/>
  <c r="M275" i="13"/>
  <c r="N275" i="13"/>
  <c r="J275" i="13"/>
  <c r="Q275" i="13"/>
  <c r="K275" i="13"/>
  <c r="L275" i="13"/>
  <c r="H275" i="13"/>
</calcChain>
</file>

<file path=xl/sharedStrings.xml><?xml version="1.0" encoding="utf-8"?>
<sst xmlns="http://schemas.openxmlformats.org/spreadsheetml/2006/main" count="2051" uniqueCount="665">
  <si>
    <t>NO.</t>
  </si>
  <si>
    <t>AFP (2.87)</t>
  </si>
  <si>
    <t>SFS ( 3.04)</t>
  </si>
  <si>
    <t xml:space="preserve">Total de Descuentos </t>
  </si>
  <si>
    <t xml:space="preserve">ALTAGRACIA JIMENEZ DE CASIMIRO </t>
  </si>
  <si>
    <t xml:space="preserve">ARELIS JOSELIN FIGUEREO HERRERA </t>
  </si>
  <si>
    <t xml:space="preserve">DISEÑADOR GRAFICO </t>
  </si>
  <si>
    <t xml:space="preserve">SORIBEL MEDINA LAGRANGE </t>
  </si>
  <si>
    <t>KARLA MARIEL UREÑA GIL</t>
  </si>
  <si>
    <t>GELLMNS KEEMSIOLY GIL BISONO</t>
  </si>
  <si>
    <t xml:space="preserve">LEONARDO ANTONIO NUÑEZ FUNG </t>
  </si>
  <si>
    <t>SOPORTE TECNICO INFORMATICO</t>
  </si>
  <si>
    <t xml:space="preserve">DEPARTAMENTO ADMINISTRATIVO Y FINANCIERO </t>
  </si>
  <si>
    <t xml:space="preserve">AUXILIAR ADMINISTRATIVO </t>
  </si>
  <si>
    <t xml:space="preserve">MEIBY ESPERANZA GUILLEN BELTRE </t>
  </si>
  <si>
    <t xml:space="preserve">CRECENCIA BELLIARD MELENCIANO </t>
  </si>
  <si>
    <t>AUXILIAR ADMINISTRATIVO I</t>
  </si>
  <si>
    <t xml:space="preserve">ANTONIA ROA TAPIA </t>
  </si>
  <si>
    <t xml:space="preserve">TERESA HIDALGO DE PEQUERO </t>
  </si>
  <si>
    <t xml:space="preserve">DOMINGO ANTONIO RAMOS </t>
  </si>
  <si>
    <t>LIGIA SOBANI LUNA RAMIREZ</t>
  </si>
  <si>
    <t xml:space="preserve">ROSAGNA ALTAGRACIA ADAMES CUELLO </t>
  </si>
  <si>
    <t>CONSERJE</t>
  </si>
  <si>
    <t xml:space="preserve">ISIDRO FRUCTUOSO FROMETA </t>
  </si>
  <si>
    <t xml:space="preserve">BELKIS LUISA FIGUEROA BATISTA </t>
  </si>
  <si>
    <t xml:space="preserve">CHOFER II </t>
  </si>
  <si>
    <t xml:space="preserve">FRANCISCO ALBERTO BLANCO RAMOS </t>
  </si>
  <si>
    <t xml:space="preserve">YSAIAS MORILLO FERREIRA </t>
  </si>
  <si>
    <t xml:space="preserve">DELKIS ROSA TORIBIO </t>
  </si>
  <si>
    <t xml:space="preserve">NORMA MIGUELINA ESTRELLA PAULINO </t>
  </si>
  <si>
    <t xml:space="preserve">ROBERTO SUERO </t>
  </si>
  <si>
    <t>ROSA YANIRIS MATEO MOJICA</t>
  </si>
  <si>
    <t xml:space="preserve">NIURKA ALTAGRACIA TEJADA </t>
  </si>
  <si>
    <t xml:space="preserve">YDALISE MARMOLEJOS POLANCO </t>
  </si>
  <si>
    <t xml:space="preserve">JENNIFER DEL PILAR OVALLE SANTANA </t>
  </si>
  <si>
    <t xml:space="preserve">ANALISTA SECTORIAL DE PRESUPUESTO </t>
  </si>
  <si>
    <t xml:space="preserve">GILMA ALTAGRACIA OGANDO PAULINO </t>
  </si>
  <si>
    <t xml:space="preserve">ELIZABETH SOTO CORTORREAL </t>
  </si>
  <si>
    <t xml:space="preserve">ELISA MERCEDES DURAN JIMENEZ </t>
  </si>
  <si>
    <t xml:space="preserve">MERLIN REYES </t>
  </si>
  <si>
    <t xml:space="preserve">JHANNET TAVERAS BICHARA </t>
  </si>
  <si>
    <t xml:space="preserve">VANESSA YANET ALMONTE SANTOS </t>
  </si>
  <si>
    <t xml:space="preserve">ANDREA DOLORES CANDELARIO COLLADO </t>
  </si>
  <si>
    <t xml:space="preserve">ANGELICA ALMENGO ALMENGOT </t>
  </si>
  <si>
    <t xml:space="preserve">JOSE ISMAEL PEÑA PERALTA </t>
  </si>
  <si>
    <t xml:space="preserve">PATRICIA ACEVEDO ROSARIO </t>
  </si>
  <si>
    <t xml:space="preserve">LIDIA ALTAGRACIA CASTILLO ROJAS </t>
  </si>
  <si>
    <t xml:space="preserve">DANIEL ALBERTO BATISTA </t>
  </si>
  <si>
    <t xml:space="preserve">SAILEN QUIROZ </t>
  </si>
  <si>
    <t xml:space="preserve">ANA LUCIA BURGOS </t>
  </si>
  <si>
    <t>SECRETARIA</t>
  </si>
  <si>
    <t>MILDRED OVALLE RIVERA</t>
  </si>
  <si>
    <t xml:space="preserve">WINDER REYES ARIAS </t>
  </si>
  <si>
    <t xml:space="preserve">MILAGROS PANIAGUA </t>
  </si>
  <si>
    <t xml:space="preserve">DELIO OMAR CESPEDES MEDINA </t>
  </si>
  <si>
    <t xml:space="preserve">JAQUELINE BELLO PUJOLS </t>
  </si>
  <si>
    <t>IRANNA LARITZA BRITO TAVAREZ</t>
  </si>
  <si>
    <t xml:space="preserve">ALBERTO VILLANUEVA POLANCO </t>
  </si>
  <si>
    <t>SHEILA CAMILA TAVAREZ ESCAÑO</t>
  </si>
  <si>
    <t xml:space="preserve">LAURA VIRGINIA DE LA CRUZ DUVERGE </t>
  </si>
  <si>
    <t xml:space="preserve">PASCUAL ALBERTO DE LOS SANTOS </t>
  </si>
  <si>
    <t xml:space="preserve">RAYNEL BRESNE SORIANO </t>
  </si>
  <si>
    <t>DESARROLLADOR DE SISTEMAS</t>
  </si>
  <si>
    <t xml:space="preserve">CARLOS PICHARDO </t>
  </si>
  <si>
    <t xml:space="preserve">DEPARTAMENTO DE COMUNICACIONES </t>
  </si>
  <si>
    <t xml:space="preserve">FRANCIS TOMAS PAULA LUNA </t>
  </si>
  <si>
    <t xml:space="preserve">RECEPCIONISTA </t>
  </si>
  <si>
    <t>DAMARIS SOLINDA MEDINA RAMIREZ</t>
  </si>
  <si>
    <t xml:space="preserve">DEPARTAMENTO DE  GESTIÓN FINANCIERA DE FORMULACIÓN Y EJECUCIÓN </t>
  </si>
  <si>
    <t xml:space="preserve">DIRECCIÓN DE CALIDAD Y EVALUACIÓN DE LA GESTIÓN PRESUPUESTARIA </t>
  </si>
  <si>
    <t>DEPARTAMENTO EVALUACIÓN DEL DESEMPEÑO PRESUPUESTARIO</t>
  </si>
  <si>
    <t>ANALISTA DE DESARROLLO INSTITUCIONAL II</t>
  </si>
  <si>
    <t xml:space="preserve">SECRETARIA </t>
  </si>
  <si>
    <t xml:space="preserve">ADMINISTRADOR DE BASE DE DATOS </t>
  </si>
  <si>
    <t xml:space="preserve">ADMINISTRADOR DE SISTEMAS </t>
  </si>
  <si>
    <t xml:space="preserve">CAMARERA </t>
  </si>
  <si>
    <t xml:space="preserve">MENSAJERO INTERNO </t>
  </si>
  <si>
    <t xml:space="preserve">ANALISTA DE SISTEMAS </t>
  </si>
  <si>
    <t xml:space="preserve">EDWIN ARMANDO COSS TERRERO </t>
  </si>
  <si>
    <t xml:space="preserve">JOHANNA FRANCHESCA SANTOS SANTOS </t>
  </si>
  <si>
    <t xml:space="preserve">JULISSA CASTILLO DE PERALTA </t>
  </si>
  <si>
    <t>COORDINADORA DE DESPACHO</t>
  </si>
  <si>
    <t xml:space="preserve">CONTADOR </t>
  </si>
  <si>
    <t xml:space="preserve">DIRECTORIA DE PRESUPUESTOS DE SERVICIOS GENERALES </t>
  </si>
  <si>
    <t>ENCARGADA</t>
  </si>
  <si>
    <t xml:space="preserve">ANALISTA </t>
  </si>
  <si>
    <t xml:space="preserve">GLENNY CONCEPCIÓN CRUZ </t>
  </si>
  <si>
    <t xml:space="preserve">ANALISTA DE NÓMINA </t>
  </si>
  <si>
    <t>ANALISTA DE PLANIFICACIÓN I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</si>
  <si>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</si>
  <si>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</si>
  <si>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</si>
  <si>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</si>
  <si>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</si>
  <si>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</si>
  <si>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</si>
  <si>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 xml:space="preserve">FIJO </t>
  </si>
  <si>
    <t xml:space="preserve">CARRERA ADMINISTRATIVA </t>
  </si>
  <si>
    <t>Ingreso Bruto</t>
  </si>
  <si>
    <t xml:space="preserve">SUBTOTAL </t>
  </si>
  <si>
    <t xml:space="preserve">Lugar de Trabajo </t>
  </si>
  <si>
    <t xml:space="preserve">Funciones </t>
  </si>
  <si>
    <t>OMAR ENRIQUE POLANCO MOLINA</t>
  </si>
  <si>
    <t>ENCARGADO DEPARTAMENTO JURÍDICO</t>
  </si>
  <si>
    <t>EDDY ROBERT JONES LUCIANO</t>
  </si>
  <si>
    <t>TÉCNICO ADMINISTRATIVO</t>
  </si>
  <si>
    <t>RAFAEL ONERIS NOVA</t>
  </si>
  <si>
    <t>NELSON ANTONIO TODD KERY</t>
  </si>
  <si>
    <t>SUPERVISOR DE TRANSPORTACIÓN</t>
  </si>
  <si>
    <t>CHOFER II</t>
  </si>
  <si>
    <t>YOHNNY MANUEL CIPRIAN CASTILLO</t>
  </si>
  <si>
    <t xml:space="preserve">ESTHER YINET LACHAPEL CRUZ </t>
  </si>
  <si>
    <t>JENNY DEL CARMEN BATISTA FLORES</t>
  </si>
  <si>
    <t xml:space="preserve">BIANCA CAROLINA ALCANTARA YNOA </t>
  </si>
  <si>
    <t xml:space="preserve">CHOFER </t>
  </si>
  <si>
    <t>ANALISTA DE GESTIÓN FINANCIERA Y EJECUCIÓN PRESUPUESTARIA I</t>
  </si>
  <si>
    <t xml:space="preserve">AYUDANTE MANTENIMIENTO </t>
  </si>
  <si>
    <t>ALICIA FELIZ OGANDO</t>
  </si>
  <si>
    <t>ANALISTA SECTORIAL DE PRESUPUESTO</t>
  </si>
  <si>
    <t>WENDY PATRICIA MONTERO FORTUNA </t>
  </si>
  <si>
    <t>VLADIMIR RICHARD TEJEDA VILLAVICENCIO</t>
  </si>
  <si>
    <t>FAUSTO MIGUEL ESPAILLAT TAVAREZ</t>
  </si>
  <si>
    <t>DIRECCIÓN DE SERVICIOS PRESUPUESTARIOS</t>
  </si>
  <si>
    <t>DIVISIÓN DE MINISTERIOS DE EDUCACIÓN Y EDUCACIÓN SUPERIOR, CIENCIA Y TECNOLOGÍA</t>
  </si>
  <si>
    <t>DIVISIÓN DE MINISTERIOS DE SALUD PÚBLICA Y ASISTENCIA SOCIAL Y TRABAJO</t>
  </si>
  <si>
    <t>DIVISIÓN DE MINISTERIOS DE LA MUJER, JUVENTUD, CULTURA, DEPORTES Y RECREACIÓN</t>
  </si>
  <si>
    <t>DIVISIÓN DE MINISTERIOS DE MEDIO AMBIENTE, AGRICULTURA Y ENERGÍA Y MINAS</t>
  </si>
  <si>
    <t>DIVISIÓN DE MINISTERIOS DE OBRAS PÚBLICAS Y VIVIENDA</t>
  </si>
  <si>
    <t>DEPARTAMENTO DE SERVICIOS GENERALES</t>
  </si>
  <si>
    <t>DIVISIÓN DE PRESIDENCIA DE LA REPÚBLICA Y MINISTERIO DE RELACIONES EXTERIORES</t>
  </si>
  <si>
    <t>DIVISIÓN DE MINISTERIOS DE HACIENDA, ADMINISTRACIÓN PÚBLICA, ECONOMÍA, PLANIFICACIÓN Y DESARROLLO</t>
  </si>
  <si>
    <t xml:space="preserve">WENDY YOCASTA MERCEDES PEGUERO </t>
  </si>
  <si>
    <t>DIVISIÓN DE MINISTERIO DE DEFENSA</t>
  </si>
  <si>
    <t>DIVISIÓN DE PROCURADURÍA GENERAL DE LA REPÚBLICA Y MINISTERIO DE INTERIOR Y POLICÍA</t>
  </si>
  <si>
    <t>DEPARTAMENTO DE SERVICIOS A LAS EMPRESAS PÚBLICAS</t>
  </si>
  <si>
    <t>DIVISIÓN DE EMPRESAS PÚBLICAS FINANCIERAS</t>
  </si>
  <si>
    <t>DIVISIÓN DE EMPRESAS PÚBLICAS NO FINANCIERAS</t>
  </si>
  <si>
    <t xml:space="preserve">DEPARTAMENTO DE  DE SERVICIOS A LOS GOBIERNOS LOCALES </t>
  </si>
  <si>
    <t>DIVISIÓN DE REGIÓN CIBAO NOROESTE</t>
  </si>
  <si>
    <t>DIVISIÓN DE REGIÓN CIBAO NORDESTE</t>
  </si>
  <si>
    <t xml:space="preserve">DIVISIÓN DE REGIÓN SUR CENTRAL </t>
  </si>
  <si>
    <t>DIVISIÓN DE REGIÓN ESTE</t>
  </si>
  <si>
    <t xml:space="preserve">DIVISIÓN DE LA REGION SUROESTE </t>
  </si>
  <si>
    <t>DEPARTAMENTO DE SERVICIOS A PODERES Y ÓRGANOS CONSTITUCIONALES</t>
  </si>
  <si>
    <t>DIVISIÓN DE JUNTA CENTRAL ELECTORAL, CÁMARA DE CUENTAS, TRIBUNAL CONSTITUCIONAL, DEFENSOR DEL PUEBLO Y TRIBUNAL SUPERIOR ELECTORAL</t>
  </si>
  <si>
    <t>DIVISIÓN DE COMUNICACIÓN INSTITUCIONAL</t>
  </si>
  <si>
    <t>DIVISIÓN DE PRODUCCIÓN GRÁFICA Y DIGITAL</t>
  </si>
  <si>
    <t>SECCIÓN DE DOCUMENTACIÓN</t>
  </si>
  <si>
    <t xml:space="preserve">DEPARTAMENTO DE SERVICIOS SOCIALES </t>
  </si>
  <si>
    <t>ENCARGADA DIVISIÓN DE MINISTERIOS DE SALUD PÚBLICA Y ASISTENCIA SOCIAL Y TRABAJO</t>
  </si>
  <si>
    <t>ENCARGADA DEPARTAMENTO DE SERVICIOS ECONÓMICOS</t>
  </si>
  <si>
    <t xml:space="preserve">JULIANA GUILLERMINA MORERA VILLALONA </t>
  </si>
  <si>
    <t xml:space="preserve">ODILYS YANIRIS HIDALGO SANTANA </t>
  </si>
  <si>
    <t>EGLIS ESTHER CEBALLOS MARTICH</t>
  </si>
  <si>
    <t>DIVISIÓN  DE MINISTERIOS DE TURISMO E INDUSTRIA, COMERCIO Y MIPYMES</t>
  </si>
  <si>
    <t>ENCARGADA DEPARTAMENTO DE SERVICIOS GENERALES</t>
  </si>
  <si>
    <t>ENCARGADA DIVISIÓN DE MINISTERIO DE DEFENSA</t>
  </si>
  <si>
    <t>ENCARGADA DEPARTAMENTO DE SERVICIOS A LAS EMPRESAS PÚBLICAS</t>
  </si>
  <si>
    <t xml:space="preserve">FRANCIS ERNESTO JUSTO HORTON </t>
  </si>
  <si>
    <t xml:space="preserve">ROBERTO LEANDRO LAMARCHE LEONARDO </t>
  </si>
  <si>
    <t xml:space="preserve">ENCARGADA </t>
  </si>
  <si>
    <t xml:space="preserve">LUZ MINERVA RAMIREZ MONTAÑO </t>
  </si>
  <si>
    <t xml:space="preserve">DIVISIÓN DE PRESIDENCIA DE LA REPÚBLICA Y MINISTERIO DE RELACIONES EXTERIORES </t>
  </si>
  <si>
    <t xml:space="preserve">WASCAR RHADAMES VENTURA GUEVARA </t>
  </si>
  <si>
    <t>REALIZADOR AUDIOVISUAL</t>
  </si>
  <si>
    <t>FIJO</t>
  </si>
  <si>
    <t>LUIS MIGUEL HERRERA LAUREANO</t>
  </si>
  <si>
    <t xml:space="preserve">MENSAJERO EXTERNO </t>
  </si>
  <si>
    <t>ENCARGADA DEPARTAMENTO DE SERVICIOS A PODERES Y ÓRGANOS CONSTITUCIONALES</t>
  </si>
  <si>
    <t>ENCARGADO DIVISIÓN DE REGIÓN ESTE</t>
  </si>
  <si>
    <t>LAURA ROSA MORILLO SOCIAS</t>
  </si>
  <si>
    <t>OFICINA DE LIBRE ACCESO A LA INFORMACIÓN</t>
  </si>
  <si>
    <t>DIVISIÓN DE BIENESTAR LABORAL</t>
  </si>
  <si>
    <t>SECCIÓN DE PRESUPUESTO Y TESORERÍA</t>
  </si>
  <si>
    <t>SECCIÓN DE ACTIVOS FIJOS Y CONTABILIDAD</t>
  </si>
  <si>
    <t>FERNANDO ALCÁNTARA CASTILLO</t>
  </si>
  <si>
    <t xml:space="preserve">SEGURIDAD </t>
  </si>
  <si>
    <t>SANTA MARLENIS TIBURCIO</t>
  </si>
  <si>
    <t>NOHELIA ANAIS PÉREZ BATISTA</t>
  </si>
  <si>
    <t xml:space="preserve">NOMBRAMIENTO TEMPORAL </t>
  </si>
  <si>
    <t>BÉRGICA CORNELIO MENDOZA</t>
  </si>
  <si>
    <t>SHAMIR HASSAN BILLILO</t>
  </si>
  <si>
    <t>DIVISIÓN DE ORGANIZACIÓN DEL TRABAJO Y COMPENSACIÓN</t>
  </si>
  <si>
    <t>PAOLA IDALIA CHALJUB THEN</t>
  </si>
  <si>
    <t>MANEJADOR DE WEB Y REDES SOCIALES</t>
  </si>
  <si>
    <t>PABLO JOSÉ PÁEZ SOLANO</t>
  </si>
  <si>
    <t>DIVISIÓN DE SEGURIDAD Y MONITOREO TIC</t>
  </si>
  <si>
    <t>VICTOR ENMANUEL VARGAS ROSARIO</t>
  </si>
  <si>
    <t>ANALISTA COMPRAS Y CONTRATACIONES</t>
  </si>
  <si>
    <t>SECCIÓN DE CONTABILIDAD Y ACTIVOS FIJOS</t>
  </si>
  <si>
    <t xml:space="preserve">ANALISTA DE SERVICIOS Y BENEFICIOS </t>
  </si>
  <si>
    <t xml:space="preserve">ESTATUTO SIMPLIFICADO </t>
  </si>
  <si>
    <t>DIVISIÓN DE ADMINISTRACIÓN DE SERVICIOS TIC</t>
  </si>
  <si>
    <t>DOMINGO DE LOS SANTOS REYES</t>
  </si>
  <si>
    <t xml:space="preserve">SUBDIRECTOR GENERAL </t>
  </si>
  <si>
    <t>MARGARET YOVEIRI GARCÍA TAVERAZ</t>
  </si>
  <si>
    <t xml:space="preserve">SONIA ORTIZ REYES </t>
  </si>
  <si>
    <t xml:space="preserve">MARIANELA MONTILLA </t>
  </si>
  <si>
    <t>IVAN JOSÉ RAMIREZ VARGAS</t>
  </si>
  <si>
    <t>DIRECCIÓN GENERAL</t>
  </si>
  <si>
    <t>ISABEL MARTÍNEZ ALONZO</t>
  </si>
  <si>
    <t xml:space="preserve">MARIEL ALTAGRACIA MUÑOZ ÁLVAREZ </t>
  </si>
  <si>
    <t>ROSA IRIS PICHARDO PÉREZ</t>
  </si>
  <si>
    <t xml:space="preserve">TERESA MILAGROS DE LEÓN PÉREZ </t>
  </si>
  <si>
    <t xml:space="preserve">TAMAR ESTHER PEÑA RODRÍGUEZ </t>
  </si>
  <si>
    <t xml:space="preserve">DIRECCIÓN DE PRESUPUESTOS DE SERVICIOS ECONÓMICOS </t>
  </si>
  <si>
    <t xml:space="preserve">ANA MARÍA BIERD DE JESÚS </t>
  </si>
  <si>
    <t xml:space="preserve">PATRICIA ALTAGRACIA FERNÁNDEZ DEL ROSARIO  </t>
  </si>
  <si>
    <t xml:space="preserve">MARCIA SUAREZ LÓPEZ </t>
  </si>
  <si>
    <t>ENCARGADA DIVISIÓN DE MINISTERIOS DE TURISMO E INDUSTRIA, COMERCIO Y MIPYMES</t>
  </si>
  <si>
    <t xml:space="preserve">YADEL CORNELIA ALICIA HERRERA DE JESÚS </t>
  </si>
  <si>
    <t>BELKIS ADALGISA MAÑÓN HIDALGO</t>
  </si>
  <si>
    <t xml:space="preserve">MARÍA VICTORIA ORTIZ SÁNCHEZ </t>
  </si>
  <si>
    <t>PATRICIA CAROLINA PERDOMO GARCÍA</t>
  </si>
  <si>
    <t xml:space="preserve">JOSEFINA GONZÁLEZ SILFA </t>
  </si>
  <si>
    <t xml:space="preserve">SANTA ROSA BAEZ RODRÍGUEZ </t>
  </si>
  <si>
    <t xml:space="preserve">CESAR FÉLIX BUENO RODRÍGUEZ </t>
  </si>
  <si>
    <t xml:space="preserve">PATRIA SENCIÓN SANTANA </t>
  </si>
  <si>
    <t>MARÍA SOLEDAD MIRANDA AHUMADA</t>
  </si>
  <si>
    <t>ANA MIGUELINA ALTAGRACIA TERRERO DE LEÓN</t>
  </si>
  <si>
    <t xml:space="preserve">YURIDYS ALTAGRACIA RODRÍGUEZ DILONE </t>
  </si>
  <si>
    <t>ENCARGADO DIVISIÓN DE REGIÓN CIBAO NORDESTE</t>
  </si>
  <si>
    <t xml:space="preserve">NIVIS LETICIA LEÓN VILLEGAS </t>
  </si>
  <si>
    <t>LUIS LEONARDO AMIAMA GÓMEZ</t>
  </si>
  <si>
    <t xml:space="preserve">ALEJANDRINA RODRÍGUEZ DUVAL </t>
  </si>
  <si>
    <t xml:space="preserve">LAURA CID SÁNCHEZ </t>
  </si>
  <si>
    <t>ARNOLD FRANCISCO ALMÁNZAR JOSEPH</t>
  </si>
  <si>
    <t xml:space="preserve">MANUEL DE JESÚS BURGOS </t>
  </si>
  <si>
    <t xml:space="preserve">ENCARGADO DIVISIÓN DE LA REGIÓN SUROESTE  </t>
  </si>
  <si>
    <t xml:space="preserve">ERELY MARTÍNEZ PÉREZ </t>
  </si>
  <si>
    <t xml:space="preserve">SAGRARIO ELENA DOMÍNGUEZ DOMÍNGUEZ </t>
  </si>
  <si>
    <t>ÁMBAR CHANEL PERALTA GEORGE</t>
  </si>
  <si>
    <t xml:space="preserve">FÉLIX ANTONIO FABIÁN MERCEDES </t>
  </si>
  <si>
    <t>KATHERINE MERCEDES PEGUERO FERMÍN</t>
  </si>
  <si>
    <t>DANIA ALCANTARA GUTIÉRREZ</t>
  </si>
  <si>
    <t xml:space="preserve">BENNY GALÁN RODRÍGUEZ </t>
  </si>
  <si>
    <t xml:space="preserve">ANALISTA DE NORMAS Y METODOLOGÍAS PRESUPUESTARIAS </t>
  </si>
  <si>
    <t>SAMANDA MARIELY VELÁSQUEZ DÍAZ</t>
  </si>
  <si>
    <t>ANALISTA DE EVALUACIÓN DEL DESEMPEÑO DE GESTIÓN PRESUPUESTARIA I</t>
  </si>
  <si>
    <t>BETHANIA DEL CARMEN FERNÁNDEZ PICHARDO</t>
  </si>
  <si>
    <t xml:space="preserve">TÉCNICO DE ACCESO A LA INFORMACIÓN </t>
  </si>
  <si>
    <t>DEPARTAMENTO NORMAS Y METODOLOGÍAS</t>
  </si>
  <si>
    <t>DIRECCIÓN ESTUDIOS ECONÓMICOS Y SEGUIMIENTO FINANCIERO</t>
  </si>
  <si>
    <t>DEPARTAMENTO DE ANÁLISIS Y ESTUDIOS ECONÓMICOS</t>
  </si>
  <si>
    <t>DEPARTAMENTO DE PLANIFICACIÓN Y DESARROLLO</t>
  </si>
  <si>
    <t>DIVISIÓN FORMULACIÓN, MONITOREO Y EVALUACIÓN DE PLANES DE PROGRAMAS Y PROYECTOS</t>
  </si>
  <si>
    <t xml:space="preserve">JESÚS MANUEL PAYANO REYES </t>
  </si>
  <si>
    <t>DIVISIÓN DESARROLLO INSTITUCIONAL</t>
  </si>
  <si>
    <t>DEPARTAMENTO JURÍDICO</t>
  </si>
  <si>
    <t>AWILDA POLANCO HERNÁNDEZ</t>
  </si>
  <si>
    <t>DIVISIÓN DE REGISTRO, CONTROL Y NÓMINA</t>
  </si>
  <si>
    <t>BIENVENIDO DÍAZ COLLADO</t>
  </si>
  <si>
    <t>DEPARTAMENTO TECNOLOGÍA DE LA INFORMACIÓN Y COMUNICACIÓN</t>
  </si>
  <si>
    <t>DIVISIÓN DESARROLLO E IMPLEMENTACIÓN DE SISTEMAS</t>
  </si>
  <si>
    <t>SOPORTE TÉCNICO DE PRUEBA Y DOCUMENTACIÓN</t>
  </si>
  <si>
    <t xml:space="preserve">RAMÓN ANTONIO TEJEDA LUGO </t>
  </si>
  <si>
    <t>DIVISIÓN OPERACIONES TIC</t>
  </si>
  <si>
    <t>DIVISIÓN SERVICIOS GENERALES</t>
  </si>
  <si>
    <t>SECCIÓN MAYORDOMÍA</t>
  </si>
  <si>
    <t>SUPERVISOR DE MAYORDOMÍA</t>
  </si>
  <si>
    <t xml:space="preserve">MARÍA ALTAGRACIA POLANCO FLORENTINO </t>
  </si>
  <si>
    <t>JUANA RODRÍGUEZ DE LOS SANTOS</t>
  </si>
  <si>
    <t>VICTOR MANUEL DÍAZ CASTILLO</t>
  </si>
  <si>
    <t xml:space="preserve">ALAM DARWIN MARTÍNEZ GARCÍA </t>
  </si>
  <si>
    <t>WANNY ALTAGRACIA RODRÍGUEZ LIBERATO</t>
  </si>
  <si>
    <t>MARÍA ELIZABETH MEJIA</t>
  </si>
  <si>
    <t>SECCIÓN DE MANTENIMIENTO</t>
  </si>
  <si>
    <t xml:space="preserve">TÉCNICO ELECTRICISTA </t>
  </si>
  <si>
    <t>CLAUDIO RAMÓN MATEO MORA</t>
  </si>
  <si>
    <t>SECCIÓN TRANSPORTACIÓN</t>
  </si>
  <si>
    <t>DINO LÓPEZ MATEO</t>
  </si>
  <si>
    <t xml:space="preserve">RAMÓN ANTONIO FLORENTINO JIMÉNEZ </t>
  </si>
  <si>
    <t>MIGUEL ÁNGEL MATOS DE LA PAZ</t>
  </si>
  <si>
    <t>JUAN CLEMENTE RAMÍREZ RINCÓN</t>
  </si>
  <si>
    <t>MANUEL EMILIO PION BERROA</t>
  </si>
  <si>
    <t xml:space="preserve">DOMINGO ANTONIO MOREL MARTÍNEZ </t>
  </si>
  <si>
    <t xml:space="preserve">MÁXIMO FLORIÁN MERCEDES CORDERO </t>
  </si>
  <si>
    <t xml:space="preserve">JOAQUÍN ENRIQUE DÍAZ FLORIÁN </t>
  </si>
  <si>
    <t xml:space="preserve">EDWIN AMADO MEJÍA </t>
  </si>
  <si>
    <t>SECCIÓN ALMACÉN Y SUMINISTRO</t>
  </si>
  <si>
    <t>AUXILIAR DE ALMACÉN Y SUMINISTRO</t>
  </si>
  <si>
    <t>GERSON ANTONIO LIZARDO PÉREZ </t>
  </si>
  <si>
    <t xml:space="preserve">MARÍA LUISA MENDEZ FELIZ </t>
  </si>
  <si>
    <t>TAIRY IVENNY RAMÍREZ RAMÍREZ</t>
  </si>
  <si>
    <t xml:space="preserve">TÉCNICO ARCHIVISTA </t>
  </si>
  <si>
    <t xml:space="preserve">TÉCNICO BIBLIOTECARIO </t>
  </si>
  <si>
    <t xml:space="preserve">CECILIO LÓPEZ </t>
  </si>
  <si>
    <t xml:space="preserve">AUXILIAR DE DOCUMENTACIÓN </t>
  </si>
  <si>
    <t xml:space="preserve">ANGELA ROSA SÁNCHEZ GONZÁLEZ </t>
  </si>
  <si>
    <t xml:space="preserve">ELENA AUDORA RAMÍREZ </t>
  </si>
  <si>
    <t>DANIRDA JACQUELINE PATRICIO RAMÍREZ</t>
  </si>
  <si>
    <t xml:space="preserve">FRANCISCO MORETA GARCÍA </t>
  </si>
  <si>
    <t xml:space="preserve">ZACARÍAS SANTANA </t>
  </si>
  <si>
    <t xml:space="preserve">Nombres y Apellidos </t>
  </si>
  <si>
    <t>YEIMI ELIZABETH BROWN MENDIETA</t>
  </si>
  <si>
    <t>DIRECCIÓN DE ESTUDIOS ECONÓMICOS Y SEGUIMIENTO FINANCIERO</t>
  </si>
  <si>
    <t xml:space="preserve">RAFAEL FRANCISCO JOVINE ZORRILLA </t>
  </si>
  <si>
    <t xml:space="preserve"> AIRÓN DE JESÚS FERNÁNDEZ GIL </t>
  </si>
  <si>
    <t xml:space="preserve"> JUAN ELÍAS PORTALATÍN GARCÍA  </t>
  </si>
  <si>
    <t xml:space="preserve">MELVIN MIGUEL RODRÍGUEZ JIMÉNEZ </t>
  </si>
  <si>
    <t xml:space="preserve"> LUIS ANTONIO RODRÍGUEZ GUTIÉRREZ </t>
  </si>
  <si>
    <t xml:space="preserve">DEPARTAMENTO NORMAS Y METODOLOGÍAS </t>
  </si>
  <si>
    <t xml:space="preserve"> ALBA DOMINICANA REYES REYES </t>
  </si>
  <si>
    <t xml:space="preserve"> SASHA ESTEFANY SOTO SÁNCHEZ </t>
  </si>
  <si>
    <t xml:space="preserve">DIVISIÓN FORMULACIÓN, MONITOREO Y EVALUACIÓN DE PLANES, PROGRAMAS Y PROYECTOS </t>
  </si>
  <si>
    <t xml:space="preserve">JULIO CESAR GÓMEZ GARCÍA </t>
  </si>
  <si>
    <t xml:space="preserve">DIVISION REGISTRO, CONTROL Y NÓMINA </t>
  </si>
  <si>
    <t xml:space="preserve">NANCY JOSEFINA OVALLE GÓMEZ </t>
  </si>
  <si>
    <t xml:space="preserve"> SINAD DE LOS MILAGROS ESTEVEZ SANTANA </t>
  </si>
  <si>
    <t>IDALIA MARÍA MERCEDES ESCOTO</t>
  </si>
  <si>
    <t xml:space="preserve"> NIURVIS YALIZA ABREU JIMÉNEZ </t>
  </si>
  <si>
    <t xml:space="preserve"> NICOL ISABEL BATISTA VALERA </t>
  </si>
  <si>
    <t xml:space="preserve">TÉCNICO DE SERVICIOS Y BENEFICIOS </t>
  </si>
  <si>
    <t>TÉCNICO DE COMUNICACIÓN INSTITUCIONAL</t>
  </si>
  <si>
    <t xml:space="preserve">DIVISIÓN DESARROLLO E IMPLEMENTACIÓN DE SISTEMAS </t>
  </si>
  <si>
    <t xml:space="preserve">SOPORTE TÉCNICO INFORMÁTICO </t>
  </si>
  <si>
    <t>DIVISIÓN DE SERVICIOS GENERALES</t>
  </si>
  <si>
    <t>VICTOR FRANCISCO JOSÉ RODRÍGUEZ GARCÍA</t>
  </si>
  <si>
    <t xml:space="preserve">DAMASO RAMÍREZ MATEO </t>
  </si>
  <si>
    <t xml:space="preserve"> LIOMAR DANIEL JON BREA </t>
  </si>
  <si>
    <t xml:space="preserve"> LIBER MORILLO MORILLO  </t>
  </si>
  <si>
    <t xml:space="preserve">VERENICE CAPELLÁN </t>
  </si>
  <si>
    <t xml:space="preserve"> CHANAY CASTILLO CORCINO </t>
  </si>
  <si>
    <t xml:space="preserve">ENC. SECCIÓN ALMACÉN Y SUMINISTRO </t>
  </si>
  <si>
    <t>TOTAL GENERAL  NÓMINA PERSONAL TEMPORAL</t>
  </si>
  <si>
    <t>DIRECCIÓN GENERAL DE PRESUPUESTO</t>
  </si>
  <si>
    <t>NÓMINA DE SUELDOS: EMPLEADOS EN TRÁMITE DE PENSIÓN</t>
  </si>
  <si>
    <t>TOTAL GENERAL NÓMINA TRÁMITE DE PENSIÓN</t>
  </si>
  <si>
    <t>NÓMINA DE SUELDOS: PERSONAL TEMPORAL</t>
  </si>
  <si>
    <t xml:space="preserve">NÓMINA DE SUELDOS: EMPLEADOS FIJOS </t>
  </si>
  <si>
    <t xml:space="preserve">TOTAL GENERAL NÓMINA PERSONAL FIJO </t>
  </si>
  <si>
    <t xml:space="preserve">ESTANISLAO MERCEDES RODRÍGUEZ </t>
  </si>
  <si>
    <t xml:space="preserve">TÉCNICO DE COMPRAS </t>
  </si>
  <si>
    <t>Nombres y Apellidos</t>
  </si>
  <si>
    <t>ESPECIALISTA DE ESTUDIOS ECONÓMICOS Y SEGUIMIENTO FINANCIERO</t>
  </si>
  <si>
    <t>M</t>
  </si>
  <si>
    <t>F</t>
  </si>
  <si>
    <t>Género</t>
  </si>
  <si>
    <t>JOSÉ ROBERTO MORETA DE LEÓN</t>
  </si>
  <si>
    <t>ENCARGADO SECCIÓN DE MAYORDOMÍA</t>
  </si>
  <si>
    <t>NÓMINA DE SUELDOS: TEMPORAL A PERSONAL FIJO EN CARGOS DE CARRERA</t>
  </si>
  <si>
    <t>TOTAL GENERAL NÓMINA TEMPORAL A PERSONAL FIJO EN CARGOS DE CARRERA</t>
  </si>
  <si>
    <t xml:space="preserve">DIVISIÓN DE COMPRAS  Y CONTRATACIONES  </t>
  </si>
  <si>
    <t>MARIA JOSÉ CASTRO SUERO</t>
  </si>
  <si>
    <t>KIMBERLY JANELIS BERTRAND ROSA</t>
  </si>
  <si>
    <t>MARIEL YUDELKA SOLANO</t>
  </si>
  <si>
    <t>DISEÑADOR GRÁFICO</t>
  </si>
  <si>
    <t>DAIHAN FERNÁNDEZ DE LA CRUZ</t>
  </si>
  <si>
    <t>ANALISTA DE SEGURIDAD TIC I</t>
  </si>
  <si>
    <t>Funcion</t>
  </si>
  <si>
    <t>DE LIBRE NOMBRAMIENTO Y REMOCIÓN</t>
  </si>
  <si>
    <t>NELSON OREIBI MARTÍNEZ SOLER</t>
  </si>
  <si>
    <t>DIVISIÓN DE COMPRAS Y CONTRATACIONES</t>
  </si>
  <si>
    <t>SECCIÓN DE ALMACÉN Y SUMINISTRO</t>
  </si>
  <si>
    <t>NATALIA IRENE VÉLEZ MOLINA</t>
  </si>
  <si>
    <t>FRANCISCO ANTONIO GÓMEZ DE JESÚS</t>
  </si>
  <si>
    <t>ENCARGADO DIVISIÓN DE OPERACIONES TIC</t>
  </si>
  <si>
    <t xml:space="preserve">REYMUNDO SANTANA SAVIÑON </t>
  </si>
  <si>
    <t>ENCARGADA DIVISIÓN DE MINISTERIOS DE OBRAS PÚBLICAS Y VIVIENDA</t>
  </si>
  <si>
    <t>YUDERKIS SANTA MEDINA REYES</t>
  </si>
  <si>
    <t>YEURY RAMON ORTIZ PEÑA</t>
  </si>
  <si>
    <t xml:space="preserve">FEDERICO JONAS REYES VARGAS </t>
  </si>
  <si>
    <t>ENCARGADA DEPARTAMENTO DE SERVICIOS SOCIALES</t>
  </si>
  <si>
    <t>DEPARTAMENTO DE SERVICIOS ECONÓMICOS</t>
  </si>
  <si>
    <t>DEPARTAMENTO DE COMUNICACIONES</t>
  </si>
  <si>
    <t>ENCARGADA DEPARTAMENTO DE COMUNICACIONES</t>
  </si>
  <si>
    <t xml:space="preserve">DIRECCION GENERAL </t>
  </si>
  <si>
    <t>COMITÉ CONSULTIVO Y PROYECTOS ESPECIALES</t>
  </si>
  <si>
    <t>ANALISTA DE CALIDAD EN LA GESTIÓN I</t>
  </si>
  <si>
    <t>MANUEL EMILIO LINARES GUERRERO</t>
  </si>
  <si>
    <t>ALEXANDER CASTILLO ASENCIO</t>
  </si>
  <si>
    <t>CHOFER I</t>
  </si>
  <si>
    <t>ADRIÁN DE FRIAS CARMONA</t>
  </si>
  <si>
    <t>ARNOLD FRANCISCO ALMANZAR JOSEPH</t>
  </si>
  <si>
    <t>ENCARGADO DIVISIÓN DE REGIÓN CIBAO NOROESTE</t>
  </si>
  <si>
    <t>BIENVENIDO DIAZ COLLADO</t>
  </si>
  <si>
    <t xml:space="preserve">ENCARGADO DIVISIÓN DE PRODUCCIÓN GRÁFICA Y DIGITAL </t>
  </si>
  <si>
    <t>ANA MIGUELINA ALTAGRACIA TERRERO DE LEON</t>
  </si>
  <si>
    <t xml:space="preserve"> ENCARGADO DEPARTAMENTO EVALUACIÓN DEL DESEMPEÑO PRESUPUESTARIO</t>
  </si>
  <si>
    <t>ELVIS RAMÓN RICARDO DE JESÚS EUSEBIO ABREU</t>
  </si>
  <si>
    <t>MILOSSIS DEL MILAGRO LIRIANO RODRÍGUEZ</t>
  </si>
  <si>
    <t>ENCARGADA DIVISIÓN DE COMUNICACIÓN INSTITUCIONAL</t>
  </si>
  <si>
    <t>TAIRY IVENNY RAMIREZ RAMIREZ</t>
  </si>
  <si>
    <t xml:space="preserve">DIVISION FORMULACION, MONITOREO Y EVALUACION DE PLANES DE PROGRAMAS Y PROYECTOS </t>
  </si>
  <si>
    <t>JASMIN ALTAGRACIA MARMOLEJOS PAULINO</t>
  </si>
  <si>
    <t>DIVISIÓN DE MINISTERIOS DE TURISMO E INDUSTRIA, COMERCIO Y MIPYMES</t>
  </si>
  <si>
    <t>ANA ELY COMAS GALVÁ</t>
  </si>
  <si>
    <t xml:space="preserve">DIVISION DESARROLLO INSTITUCIONAL </t>
  </si>
  <si>
    <t>KARINA SUERO RUIZ</t>
  </si>
  <si>
    <t xml:space="preserve"> DEPARTAMENTO DE RECURSOS HUMANOS</t>
  </si>
  <si>
    <t>ADMINISTRADOR DE SISTEMAS</t>
  </si>
  <si>
    <t>HECTOR JOSÉ MANCEBO RODRIGUEZ</t>
  </si>
  <si>
    <t xml:space="preserve">COORDINADOR DE COMITÉ CONSULTIVO Y PROYECTOS ESPECIALES </t>
  </si>
  <si>
    <t>MICKEY JOEL COHÉN SIMÓ</t>
  </si>
  <si>
    <t>JOHNSY IRDEMARO BÁEZ MARTINEZ</t>
  </si>
  <si>
    <t>PATRIA TERESA CROUSSET MATA</t>
  </si>
  <si>
    <t>AMANDA HILARIO ABREU</t>
  </si>
  <si>
    <t>ESPECIALISTA DIRECCIÓN DE CALIDAD Y EVALUACIÓN DE LA GESTIÓN PRESUPUESTARIA</t>
  </si>
  <si>
    <t xml:space="preserve">ANA YISEL CUEVAS MATOS </t>
  </si>
  <si>
    <t>BRYAN ALEXIS THOMPSON PÉREZ</t>
  </si>
  <si>
    <t xml:space="preserve">HAMLET ALFONSO JIMÉNEZ RIVERA </t>
  </si>
  <si>
    <t xml:space="preserve">MÉDICO </t>
  </si>
  <si>
    <t>SANTA DIGNA RIVERA DE ALEJO</t>
  </si>
  <si>
    <t xml:space="preserve">SOCORRO HERNANDEZ VALDEZ </t>
  </si>
  <si>
    <t>AMBAR CHANEL PERALTA GEORGE</t>
  </si>
  <si>
    <t>ENCARGADA DIVISIÓN DE PRESIDENCIA DE LA REPÚBLICA Y MINISTERIO DE RELACIONES EXTERIORES</t>
  </si>
  <si>
    <t>DIVISIÓN DE REGIÓN SUR CENTRAL</t>
  </si>
  <si>
    <t>ENCARGADA DIVISIÓN DE REGIÓN SUR CENTRAL</t>
  </si>
  <si>
    <t>DEPARTAMENTO DE  NORMAS Y METODOLOGÍAS</t>
  </si>
  <si>
    <t xml:space="preserve">MARÍA VICTORIA ORTÍZ SÁNCHEZ </t>
  </si>
  <si>
    <t xml:space="preserve"> ENCARGADA DEPARTAMENTO DE  NORMAS Y METODOLOGÍAS</t>
  </si>
  <si>
    <t>COORDINADOR DE DESARROLLO DE CAPACIDADES PRESUPUESTARIA</t>
  </si>
  <si>
    <t>COORDINADOR DE ENLACE SIGEF</t>
  </si>
  <si>
    <t>ENCARGADO  DIVISIÓN DE MINISTERIOS DE HACIENDA, ADMINISTRACIÓN PÚBLICA, ECONOMÍA, PLANIFICACIÓN Y DESARROLLO</t>
  </si>
  <si>
    <t>FRANCIS ISRAEL SALDAÑA SANTANA</t>
  </si>
  <si>
    <t>PATRICIA CAROLINA PERDOMO GARCIA</t>
  </si>
  <si>
    <t>RICARDO JOSÉ SANTANA DÍAZ</t>
  </si>
  <si>
    <t>FERNANDO LUIS SAN MIGUEL ÁLVAREZ</t>
  </si>
  <si>
    <t>JOERAH EDMÉE ALFAU LARACUENTE</t>
  </si>
  <si>
    <t>VIRMARYS ANDREINA CANELA TORRES</t>
  </si>
  <si>
    <t>ERICK RAMÓN SANTANA REYES</t>
  </si>
  <si>
    <t>RAFAEL VITERBO DE LA ROSA CABA</t>
  </si>
  <si>
    <t>ANALISTA DE ANÁLISIS DE ESTUDIOS ECONÓMICOS I</t>
  </si>
  <si>
    <t xml:space="preserve">EDWIN AMADO MEJIA </t>
  </si>
  <si>
    <t>DANIA ALCANTARA GUTIERREZ</t>
  </si>
  <si>
    <t xml:space="preserve">ANALISTA DE NORMAS Y METODOLOGIA </t>
  </si>
  <si>
    <t>ANALISTA DE EVALUACION DEL DESEMPEÑO PRESUPUESTARIO</t>
  </si>
  <si>
    <t xml:space="preserve">FABIO MIGUEL CABRERA GOMEZ </t>
  </si>
  <si>
    <t xml:space="preserve">COORDINADOR SECTORIAL DE PRESUPUESTO </t>
  </si>
  <si>
    <t>COORDINADORA DE ANÁLISIS DE ESTUDIOS ECONÓMICOS II</t>
  </si>
  <si>
    <t>COORDINADORA DE EVALUACIÓN DEL DESEMPEÑO DE GESTIÓN PRESUPUESTARIA I</t>
  </si>
  <si>
    <t xml:space="preserve"> </t>
  </si>
  <si>
    <t>DDIVISIÓN DE MINISTERIO DE DEFENSA</t>
  </si>
  <si>
    <t xml:space="preserve">PATRICIA CAROLINA DILONE GIL </t>
  </si>
  <si>
    <t xml:space="preserve">SORANGEL GONZALEZ DIAZ </t>
  </si>
  <si>
    <t>NICKOL RODRÍGUEZ FERNÁNDEZ</t>
  </si>
  <si>
    <t xml:space="preserve">SFS DEPENDIENTES </t>
  </si>
  <si>
    <t>TOTAL TSS</t>
  </si>
  <si>
    <t>MONTO PARA ISR</t>
  </si>
  <si>
    <t xml:space="preserve">EDIGEN MANUEL FLORIAN FLORIAN </t>
  </si>
  <si>
    <t>SFS DEPENDIENTES</t>
  </si>
  <si>
    <t xml:space="preserve">LIANNY ROJAS DE AZA </t>
  </si>
  <si>
    <t xml:space="preserve">MARTA FELICIA DIAZ CASTILLO </t>
  </si>
  <si>
    <t xml:space="preserve">YONY AGUSTIN DEAZA </t>
  </si>
  <si>
    <t xml:space="preserve">GENARO PASCASIO CANELA </t>
  </si>
  <si>
    <t xml:space="preserve">LUBEANA MONTERO MORILLO </t>
  </si>
  <si>
    <t xml:space="preserve">VERONICA VALDEZ </t>
  </si>
  <si>
    <t xml:space="preserve">JOSE FRANCISCO PLACENCIA </t>
  </si>
  <si>
    <t xml:space="preserve">ANGELLI FRANCHESKA ECHAVARRIA ZABALA </t>
  </si>
  <si>
    <t xml:space="preserve">YULISSA MILAGROS BURGOS MEDINA </t>
  </si>
  <si>
    <t>ANALISTA DE EVALUACION DESEMPEÑO Y CAPACITACION</t>
  </si>
  <si>
    <t xml:space="preserve">DIVISION DE EVALUACION DEL DESEMPEÑO Y CAPACITACION </t>
  </si>
  <si>
    <t xml:space="preserve">MIGUEL ELIAS SARRAF CARABALLO </t>
  </si>
  <si>
    <t>ROMA DELFINA TAVERAS PIÑA</t>
  </si>
  <si>
    <t>FRANCISCO ANTONIO MENDEZ VELAZQUEZ</t>
  </si>
  <si>
    <t>CRISTAL THALIA MARTES PAULINO</t>
  </si>
  <si>
    <t xml:space="preserve">YAN LI SUAREZ </t>
  </si>
  <si>
    <t xml:space="preserve">VIRMANIA MANZUETA DE PEREZ </t>
  </si>
  <si>
    <t>ANALISTA DE CAPACITACION Y DESARROLLO</t>
  </si>
  <si>
    <t xml:space="preserve">WENDY ABREU DILONE </t>
  </si>
  <si>
    <t>ALCY LOPEZ SEGURA</t>
  </si>
  <si>
    <t>SECCION DE DOCUMENTACION</t>
  </si>
  <si>
    <t>JENNIFER DEL PILAR OVALLE SANTANA</t>
  </si>
  <si>
    <t>FIJA</t>
  </si>
  <si>
    <t xml:space="preserve">JOSE ROBERTO MORTEA DE LEON  </t>
  </si>
  <si>
    <t xml:space="preserve">NORVIN DARINEL BERGES SANCHEZ </t>
  </si>
  <si>
    <t xml:space="preserve">ENCARCADO SERVICIOS A LOS GOBIERNOS LOCALES </t>
  </si>
  <si>
    <t xml:space="preserve">JULIO JEREZ ADAMES </t>
  </si>
  <si>
    <t>JULIANA GILLERMINA MORERA VILLALON</t>
  </si>
  <si>
    <t>DIVISIÓN DE MINISTERIOS DE MEDIO AMBIENTE, AGRICULTURA, ENERGIA Y MINAS</t>
  </si>
  <si>
    <t xml:space="preserve">JHOSELYN POLANCO BRITO </t>
  </si>
  <si>
    <t>CARRERA ADMINISTRATIVA</t>
  </si>
  <si>
    <t>JOSE JAVIER SANTANA UREÑA</t>
  </si>
  <si>
    <t>PAOLA GELMANIA SIDO DIAZ</t>
  </si>
  <si>
    <t xml:space="preserve">LORENNA YISSEL DOMINGUEZ AYBAR </t>
  </si>
  <si>
    <t>LOWENSKI TEUDIS MATOS BENCOSME</t>
  </si>
  <si>
    <t xml:space="preserve">JUAN EDILVER ROSARIO MOTA </t>
  </si>
  <si>
    <t xml:space="preserve">ENCARGADO DE DIVISION DESARROLLO EIMPLEMENTACION DE SISTEMAS </t>
  </si>
  <si>
    <t>MARIA ERCILIA JIMENEZ MARTINEZ</t>
  </si>
  <si>
    <t>MILDRED STERLING SANTANA</t>
  </si>
  <si>
    <t xml:space="preserve">AUXILIAR DE ENFERMERIA </t>
  </si>
  <si>
    <t xml:space="preserve">GLENNY CONCEPCION CRUZ  </t>
  </si>
  <si>
    <t xml:space="preserve">ENCARGADA DE DOCUMENTACIÓN </t>
  </si>
  <si>
    <t xml:space="preserve">TÉCNICO EN PRESUPUESTO Y TESORERIA </t>
  </si>
  <si>
    <t>DESARROLLADOR DE SISTEMA</t>
  </si>
  <si>
    <t>LEWIS KAROLINE ROSA VILLAR</t>
  </si>
  <si>
    <t>LUIS ANDRÉS HILARIO SALAS</t>
  </si>
  <si>
    <t>AUXILIAR DE DOCUMENTACIÓN</t>
  </si>
  <si>
    <t>LUDOVINO CEBALLOS JIMÉNEZ</t>
  </si>
  <si>
    <t>DIRECTOR DIRECCIÓN DE ESTUDIOS ECONOMICOS Y SEGUIMIENTO FINANCIERO</t>
  </si>
  <si>
    <t>ELISON BIENVENIDO ARIAS GARCIA</t>
  </si>
  <si>
    <t>ENCARGADO DIVISIÓN DE REGISTRO, CONTROL Y NÓMINA</t>
  </si>
  <si>
    <t>ANALISTA LEGAL</t>
  </si>
  <si>
    <t xml:space="preserve">ENCARGADA DIVISIÓN DE ORGANIZACIÓN DEL TRABAJO Y COMPENSACIÓN </t>
  </si>
  <si>
    <t>JUAN FRANCISCO DE LOS SANTOS DECENA</t>
  </si>
  <si>
    <t>ENCARGADO DIVISIÓN DE COMPRAS Y CONTRATACIONES</t>
  </si>
  <si>
    <t>ADRIANA LOPEZ CASTILLO</t>
  </si>
  <si>
    <t>JOSÉ ALEJANDRO GUTIÉRREZ LORENZO</t>
  </si>
  <si>
    <t>ANALISTA DE NORMAS Y METODOLOGÍAS PRESUPUESTARIAS</t>
  </si>
  <si>
    <t xml:space="preserve">RESPONSABLE DE OFICINA DE LIBRE ACCESO </t>
  </si>
  <si>
    <t xml:space="preserve">   </t>
  </si>
  <si>
    <t>ENCARGADO DE SECCIÓN DE ACTIVOS FIJOS Y CONTABILIDAD</t>
  </si>
  <si>
    <t xml:space="preserve">ENCARGADO DEL DEPARTAMENTO DE  GESTIÓN FINANCIERA DE FORMULACIÓN Y EJECUCIÓN </t>
  </si>
  <si>
    <t>ENCARGADA DEL DEPARTAMENTO DE ANÁLISIS Y ESTUDIOS ECONÓMICOS</t>
  </si>
  <si>
    <t xml:space="preserve">ENCARGADO DEL DEPARTAMENTO ADMINISTRATIVO Y FINANCIERO  </t>
  </si>
  <si>
    <t xml:space="preserve">ENCARGADO DE LA  DIVISIÓN DE SERVICIOS GENERALES </t>
  </si>
  <si>
    <t>JUSTINIANO JUAN MANUEL RODRIGUEZ PÉREZ</t>
  </si>
  <si>
    <t>CRISTIAN JESÚS MARTINEZ</t>
  </si>
  <si>
    <t>JOAB BIENVENIDO MERCEDES POLANCO</t>
  </si>
  <si>
    <t>LORENDA NUVIS DIAZ</t>
  </si>
  <si>
    <t>CLARA MARIA RAMIREZ RODRIGUEZ</t>
  </si>
  <si>
    <t>MIGUEL ANGEL PÉREZ DIAZ</t>
  </si>
  <si>
    <t xml:space="preserve">ANALISTA DE PLANIFICACION </t>
  </si>
  <si>
    <t>MARIEL AMANDA MATOS JIMINIÁN</t>
  </si>
  <si>
    <t xml:space="preserve">Saldo a Favor </t>
  </si>
  <si>
    <t xml:space="preserve">CARGO DE CONFIANZA </t>
  </si>
  <si>
    <t xml:space="preserve">TÉCNICO  DE PLANIFICACIÓN </t>
  </si>
  <si>
    <t>CAROLINA MATEO TERRERO DE VIDAL</t>
  </si>
  <si>
    <t xml:space="preserve">SUPERVISOR (A) DE COMEDOR </t>
  </si>
  <si>
    <t xml:space="preserve">ANGELA AGRAMONTE GARCIA </t>
  </si>
  <si>
    <t xml:space="preserve">FELIX JOSE VICENTE COLON </t>
  </si>
  <si>
    <t xml:space="preserve">JAIRO MANUEL FELIZ LOPEZ </t>
  </si>
  <si>
    <t>FACUNDO GUZMAN</t>
  </si>
  <si>
    <t xml:space="preserve">SAMUEL ARIAS GOMEZ </t>
  </si>
  <si>
    <t xml:space="preserve">ARIEL BENJAMIN MARTINEZ ZABALA </t>
  </si>
  <si>
    <t>ALBERTO DIVINO ZAPATA GUEVARA</t>
  </si>
  <si>
    <t xml:space="preserve">ANA ELIZABETH RODRIGUEZ PEREZ </t>
  </si>
  <si>
    <t>ANALISTA DE ANALISIS DE ESTUDIOS ECONOMICOS I</t>
  </si>
  <si>
    <t xml:space="preserve">DELFI DOLORES DE SALAS ANTONIO </t>
  </si>
  <si>
    <t>DIVISION FINANCIERA</t>
  </si>
  <si>
    <t>ENCARGADA DIVISIÓN DESARROLLO INSTITUCIONAL</t>
  </si>
  <si>
    <t xml:space="preserve">DELMIS MARTES HICHEZ </t>
  </si>
  <si>
    <t xml:space="preserve">ESPECIALISTA DE PROYECTOS ESPECIALES </t>
  </si>
  <si>
    <t xml:space="preserve">DIVISIÓN DE CALIDAD EN LA GESTION </t>
  </si>
  <si>
    <t xml:space="preserve"> TÉCNICO ADMINISTRATIVO</t>
  </si>
  <si>
    <t xml:space="preserve">ANALISTA  DE PLANIFICACION E IGUALDA DE GENERO </t>
  </si>
  <si>
    <t>WINDRYS SÁNCHEZ DE RUIZ</t>
  </si>
  <si>
    <t>RAMFIS MICHAEL MORENO GONZÁLEZ</t>
  </si>
  <si>
    <t>MARÍA ESTEFANY CORONA CRUZ</t>
  </si>
  <si>
    <t>TÉCNICO DE CONTABILIDAD</t>
  </si>
  <si>
    <t xml:space="preserve">DIVISIÓN ADMINISTRATIVA </t>
  </si>
  <si>
    <t>ANTONIO RAFAEL HERNÁNDEZ CAPELLÁN</t>
  </si>
  <si>
    <t>ENCARGADO DIVISIÓN ADMINISTRATIVA</t>
  </si>
  <si>
    <t xml:space="preserve">ENCARGADA DIVISIÓN DE LA CALIDAD EN LA GESTIÓN  </t>
  </si>
  <si>
    <t xml:space="preserve">DIVISIÓN DE LA CALIDAD EN LA GESTIÓN  </t>
  </si>
  <si>
    <t>ANALISTA DE GESTIÓN FINANCIERA DE FORMULACIÓN Y EJECUCIÓN I</t>
  </si>
  <si>
    <t>ANALISTA DE NÓMINA</t>
  </si>
  <si>
    <t>ABRAHAM DE LEÓN MONTERO</t>
  </si>
  <si>
    <t>JULIZA GIL CASTILLO</t>
  </si>
  <si>
    <t>ENCARGADA DIVISIÓN DE MINISTERIOS DE LA MUJER, JUVENTUD, CULTURA, DEPORTES Y RECREACIÓN.</t>
  </si>
  <si>
    <t>INGRID LUNA GALVAN</t>
  </si>
  <si>
    <t>CARLOS MANUEL BEREGUETE CABRERA</t>
  </si>
  <si>
    <t xml:space="preserve">ALEXANDER SALDAÑA LUCIANO </t>
  </si>
  <si>
    <t>BASILIO MARTINEZ</t>
  </si>
  <si>
    <t>01 DE JULIO DEL 2025</t>
  </si>
  <si>
    <t>ANALISTA DE DESARROLLO INSTITUCIONAL I</t>
  </si>
  <si>
    <t xml:space="preserve">THANIA LILIBET HERRERA MATEO </t>
  </si>
  <si>
    <t>JUAN ANDRES ESCOLFULLER CASTILLO</t>
  </si>
  <si>
    <t>SECCION DE MANTENIMIENTO</t>
  </si>
  <si>
    <t>EDDY RICARDO INOA MENDOZA</t>
  </si>
  <si>
    <t>ENCARGADO SECCION DE MANTENIMIENTO</t>
  </si>
  <si>
    <t>DIVISIÓN DE MINISTERIOS DE LA MUJER, JUVENTUD, CULTURA, DEPORTES Y RECREACIÓN.</t>
  </si>
  <si>
    <t>ENCARGADA DE DIVISIÓN DE MINISTERIOS DE LA MUJER, JUVENTUD, CULTURA, DEPORTES Y RECREACIÓN</t>
  </si>
  <si>
    <t xml:space="preserve">COORDINADORA SECTORIAL DE PRESUPUESTO </t>
  </si>
  <si>
    <t>ROSA MARIA COLAS JIMENEZ</t>
  </si>
  <si>
    <t>NURIA MADELINE VELOZ REYES</t>
  </si>
  <si>
    <t>KELVINSON DE LA CEUZ SANTANA</t>
  </si>
  <si>
    <t>ENCARGADA  SECCIÓN DE PRESUPUESTO Y TESORERÍA</t>
  </si>
  <si>
    <t>JUAN ALFONSO PAULINO RODRIGUEZ</t>
  </si>
  <si>
    <t xml:space="preserve">ANA MARIA BIERD DE JESUS </t>
  </si>
  <si>
    <t>ENCARGADA DE DIVISION DE MINISTERIO DE OBRAS PUBLICAS Y VIVIENDA</t>
  </si>
  <si>
    <t>BELKIS ADALGISA MAÑON HIDALGO</t>
  </si>
  <si>
    <t>DIVISION DE SERVICIOS A LAS EMPRESAS PÚBLICAS NO FINANCIERAS</t>
  </si>
  <si>
    <t>ENC. DIVISION DE SERVICIOS A LAS EMPRESAS PÚBLICAS NO FINANCIERAS</t>
  </si>
  <si>
    <t>ANALISTA SECTORIAL DE PRESUPUESTO I</t>
  </si>
  <si>
    <t xml:space="preserve">ENCARGADA DEPARTAMENTO DE PLANIFICACION Y DESARROLLO </t>
  </si>
  <si>
    <t>ANGEL YUNIOR ROMERO PEÑA</t>
  </si>
  <si>
    <t>ANDREINA YAMILKA CABRAL LLUBERES</t>
  </si>
  <si>
    <t>MIGUEL ANTONIO ANDUJAR GUZMÁN</t>
  </si>
  <si>
    <t>MERCEDES FRANCISCA ROSARIO BRAZOBÁN</t>
  </si>
  <si>
    <t xml:space="preserve">ANALISTA SECTORIAL DE PRESUPUESTO I </t>
  </si>
  <si>
    <t>DAURIS OSCAR FAMILIA HERNÁNDEZ</t>
  </si>
  <si>
    <t>DIVISIÓN DE  DE PODER JUDICIAL, CÁMARA DE DIPUTADOS Y SENADO DE LA REPÚBLICA</t>
  </si>
  <si>
    <t>ANDRÉS AUGUSTO GARCÍA VALIENTE</t>
  </si>
  <si>
    <t>f</t>
  </si>
  <si>
    <t>ELVIRANYI RAQUEL MARTINEZ</t>
  </si>
  <si>
    <t xml:space="preserve">JULIAN JOSE ACOSTA ACOSTA </t>
  </si>
  <si>
    <t>ALEXANDER HILARIO OSORIO</t>
  </si>
  <si>
    <t>01 DE ENERO DE 2026</t>
  </si>
  <si>
    <t>ENCARGADO DEPT- TECNOLOGÍA DE LA INFORMACIÓN Y COMUNICACIÓN</t>
  </si>
  <si>
    <t>ENCARGADO DIV. ADMINISTRACIÓN DE SERVICIOS TIC</t>
  </si>
  <si>
    <t xml:space="preserve">TÉCNICO ADMINISTRATIVO </t>
  </si>
  <si>
    <t>EMILY ROSEILY MONTERO OGANDO</t>
  </si>
  <si>
    <t>MAURICIO RAFAEL CHIA VERDEJA</t>
  </si>
  <si>
    <t xml:space="preserve">MAURIN FRANCHESCA CORTORREAL DEL PILAR </t>
  </si>
  <si>
    <t>BRYAN ALBERTO FERNANDEZ</t>
  </si>
  <si>
    <t>MIGUEL NUÑEZ ACEVEDO</t>
  </si>
  <si>
    <t>YANNA ENEROLISA PEREZ ALCANTARA</t>
  </si>
  <si>
    <t>TANIA MELISSA QUELIZ SANCHEZ</t>
  </si>
  <si>
    <t>01 DE FEBRERO DEL 2026</t>
  </si>
  <si>
    <t>ROSABEL ITAMAR MADURO JIMENEZ</t>
  </si>
  <si>
    <t>SFS Dependientes</t>
  </si>
  <si>
    <t>ENCARGADA DE LA DIVISION FINANCIERA</t>
  </si>
  <si>
    <t xml:space="preserve">ESMERALDA CARMONA AGUSTIN </t>
  </si>
  <si>
    <t xml:space="preserve">KIARA REGINA ESTRELLA TORIBIO </t>
  </si>
  <si>
    <t xml:space="preserve">MARIA ROSA NICASIO </t>
  </si>
  <si>
    <t xml:space="preserve">AMBAR QUISQUEYA PEÑA OGANDO </t>
  </si>
  <si>
    <t xml:space="preserve">HANSHER MANUEL RUA PEREZ </t>
  </si>
  <si>
    <t xml:space="preserve">JUAN DANIEL ALCANTARA OVIEDO </t>
  </si>
  <si>
    <t>01 DE ABRIL DE 2026</t>
  </si>
  <si>
    <t>01 DE MARZO DE 2026</t>
  </si>
  <si>
    <t>LIANNY ROJAS DE AZA</t>
  </si>
  <si>
    <t>TECNICO ADMINISTRATIVO</t>
  </si>
  <si>
    <t xml:space="preserve">ASISTENTE I </t>
  </si>
  <si>
    <t xml:space="preserve"> ANALISTA DE PLANIFICACIÓN I</t>
  </si>
  <si>
    <t>COORDINADOR MESA DE AYUDA</t>
  </si>
  <si>
    <t xml:space="preserve">DEPARTAMENTO DE GOBIERNO LOCALES </t>
  </si>
  <si>
    <t xml:space="preserve">SOPORTE TÉCNICO DE PRUEBAS Y DOCUMENTACIÓN </t>
  </si>
  <si>
    <t>DIANA VIVIANA FLORIAN VESQUEZ</t>
  </si>
  <si>
    <t>JOALDO ERNESTO LOPEZ ESPINOSA</t>
  </si>
  <si>
    <t>01 DE MAYO DE 2026</t>
  </si>
  <si>
    <t xml:space="preserve">TECNICO ADMINISTRATIVO </t>
  </si>
  <si>
    <t>02 DE JULIO DEL 2026</t>
  </si>
  <si>
    <t>01 DE JULIO DEL 2026</t>
  </si>
  <si>
    <t>02 DE ENERO DE 2026</t>
  </si>
  <si>
    <t>IDALIA MERCEDES ESCOTO</t>
  </si>
  <si>
    <t>JOSE ALBERTO MACHADO INOA</t>
  </si>
  <si>
    <t>LUIS ORLANDO HAZA LOPEZ</t>
  </si>
  <si>
    <t>EVA CAROLINA SANCHEZ JAVIER</t>
  </si>
  <si>
    <t xml:space="preserve">JULIRIS ELIZABETH PEQUERO MOTA </t>
  </si>
  <si>
    <t>01 DE AGOSTO DEL 2026</t>
  </si>
  <si>
    <t>01 DE JUNIO DE 2026</t>
  </si>
  <si>
    <t xml:space="preserve">MERCEDES FLORENTINO MONTAS </t>
  </si>
  <si>
    <t xml:space="preserve">SECCION DE MAYORDOMIA </t>
  </si>
  <si>
    <t xml:space="preserve">SECCION DE DOCUMENTACION </t>
  </si>
  <si>
    <t>01 DE  JUNIO DE 2026</t>
  </si>
  <si>
    <t xml:space="preserve">DEYVI NOEL CASTILLO RICHARDSON </t>
  </si>
  <si>
    <t>REYMI DANIEL CARABALLO RAVELO</t>
  </si>
  <si>
    <t>LUIS MIGUEL SANTO CONTRERAS</t>
  </si>
  <si>
    <t xml:space="preserve">ENCARGADA DE RECURSOS HUMANOS </t>
  </si>
  <si>
    <t>1 DE SEPTIEMBRE DE 2026</t>
  </si>
  <si>
    <t xml:space="preserve">REALIZADOR AUDIOVISUAL </t>
  </si>
  <si>
    <t xml:space="preserve">ENCARGADA DE DVISION </t>
  </si>
  <si>
    <t>NÓMINA DE SUELDOS: EMPLEADOS EN PERIODO PROBATORIO</t>
  </si>
  <si>
    <t xml:space="preserve">PROBATORIO </t>
  </si>
  <si>
    <t xml:space="preserve">LESLIE LORENA GUERRERO GONZALEZ </t>
  </si>
  <si>
    <t xml:space="preserve">MARIA MAGDALENA CABRERA FRANCO </t>
  </si>
  <si>
    <t>JOSE SEBASTIAN UBIERA MOTA</t>
  </si>
  <si>
    <t>CORRECTOR DE ESTILO</t>
  </si>
  <si>
    <t xml:space="preserve">RELIZADOR AUDIOVISUAL </t>
  </si>
  <si>
    <t>01 DE OCTUBRE DE 2026</t>
  </si>
  <si>
    <t>VIRGINIA MASSIEL BETANCOURT MOJICA</t>
  </si>
  <si>
    <t>01 DE NOVIEMBRE DE 2026</t>
  </si>
  <si>
    <t xml:space="preserve">01 DE MAYO DE 2026 </t>
  </si>
  <si>
    <t xml:space="preserve">ENCARGADA DEPARTAMENTO DE RECURSOS HUMANOS </t>
  </si>
  <si>
    <t xml:space="preserve">ENCARGADA DE DIVISION BIENESTAR LABORAL </t>
  </si>
  <si>
    <t xml:space="preserve"> 01 DE NOVIEMBRE DE 2026</t>
  </si>
  <si>
    <t>01 DE MAYO DEL 2026</t>
  </si>
  <si>
    <t>MARÍA HORTENSIA DURAN CAPELLAN</t>
  </si>
  <si>
    <t>ENCARGADA DIVISIÓN DE FORMULACIÓN, MONITOREO Y EVALUACIÓN DE PLANES, PROGRAMAS Y PROYECTOS</t>
  </si>
  <si>
    <t>ANDRÉS CABRAL ROSA</t>
  </si>
  <si>
    <t xml:space="preserve">TÉCNICO DE REGISTRO Y CONTROL </t>
  </si>
  <si>
    <t>01 DE  ENERO DE 2027</t>
  </si>
  <si>
    <t>01 DE ENERO DEL 2027</t>
  </si>
  <si>
    <t>Correspondiente al mes de junio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</si>
</sst>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-* #,##0.00_-;\-* #,##0.00_-;_-* &quot;-&quot;??_-;_-@_-"/>
    <numFmt numFmtId="165" formatCode="000\-0000000\-0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Arial"/>
      <family val="2"/>
    </font>
    <font>
      <sz val="10"/>
      <name val="Calibri"/>
      <family val="2"/>
    </font>
    <font>
      <sz val="10"/>
      <color theme="1"/>
      <name val="Century Gothic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95">
    <xf numFmtId="0" fontId="0" fillId="0" borderId="0" xfId="0"/>
    <xf numFmtId="0" fontId="4" fillId="2" borderId="0" xfId="0" applyFont="1" applyFill="1"/>
    <xf numFmtId="43" fontId="4" fillId="2" borderId="0" xfId="1" applyFont="1" applyFill="1" applyBorder="1"/>
    <xf numFmtId="0" fontId="4" fillId="2" borderId="0" xfId="0" applyFont="1" applyFill="1" applyAlignment="1">
      <alignment horizontal="center"/>
    </xf>
    <xf numFmtId="43" fontId="4" fillId="2" borderId="0" xfId="0" applyNumberFormat="1" applyFont="1" applyFill="1"/>
    <xf numFmtId="164" fontId="4" fillId="2" borderId="0" xfId="0" applyNumberFormat="1" applyFont="1" applyFill="1"/>
    <xf numFmtId="0" fontId="5" fillId="2" borderId="0" xfId="0" applyFont="1" applyFill="1" applyAlignment="1">
      <alignment horizontal="center"/>
    </xf>
    <xf numFmtId="43" fontId="11" fillId="2" borderId="0" xfId="1" applyFont="1" applyFill="1" applyBorder="1"/>
    <xf numFmtId="0" fontId="11" fillId="2" borderId="0" xfId="0" applyFont="1" applyFill="1"/>
    <xf numFmtId="0" fontId="13" fillId="0" borderId="0" xfId="0" applyFont="1"/>
    <xf numFmtId="0" fontId="12" fillId="0" borderId="0" xfId="0" applyFont="1"/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6" fillId="2" borderId="0" xfId="0" applyFont="1" applyFill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43" fontId="17" fillId="4" borderId="1" xfId="1" applyFont="1" applyFill="1" applyBorder="1"/>
    <xf numFmtId="43" fontId="16" fillId="2" borderId="0" xfId="0" applyNumberFormat="1" applyFont="1" applyFill="1"/>
    <xf numFmtId="43" fontId="16" fillId="2" borderId="0" xfId="1" applyFont="1" applyFill="1" applyBorder="1"/>
    <xf numFmtId="43" fontId="17" fillId="2" borderId="0" xfId="1" applyFont="1" applyFill="1" applyBorder="1"/>
    <xf numFmtId="43" fontId="16" fillId="2" borderId="0" xfId="1" applyFont="1" applyFill="1" applyBorder="1" applyAlignment="1">
      <alignment horizontal="center"/>
    </xf>
    <xf numFmtId="0" fontId="16" fillId="2" borderId="0" xfId="0" applyFont="1" applyFill="1" applyAlignment="1">
      <alignment horizontal="left"/>
    </xf>
    <xf numFmtId="165" fontId="13" fillId="2" borderId="0" xfId="0" applyNumberFormat="1" applyFont="1" applyFill="1" applyAlignment="1">
      <alignment horizontal="left" wrapText="1"/>
    </xf>
    <xf numFmtId="0" fontId="16" fillId="2" borderId="0" xfId="0" applyFont="1" applyFill="1" applyAlignment="1">
      <alignment horizontal="center"/>
    </xf>
    <xf numFmtId="43" fontId="16" fillId="2" borderId="0" xfId="1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43" fontId="15" fillId="2" borderId="0" xfId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43" fontId="16" fillId="0" borderId="0" xfId="1" applyFont="1" applyFill="1" applyBorder="1"/>
    <xf numFmtId="43" fontId="16" fillId="0" borderId="0" xfId="1" applyFont="1" applyFill="1" applyBorder="1" applyAlignment="1">
      <alignment horizontal="center"/>
    </xf>
    <xf numFmtId="0" fontId="17" fillId="0" borderId="4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43" fontId="17" fillId="3" borderId="6" xfId="0" applyNumberFormat="1" applyFont="1" applyFill="1" applyBorder="1"/>
    <xf numFmtId="0" fontId="15" fillId="2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/>
    </xf>
    <xf numFmtId="0" fontId="16" fillId="0" borderId="2" xfId="0" applyFont="1" applyBorder="1" applyAlignment="1">
      <alignment horizontal="center"/>
    </xf>
    <xf numFmtId="43" fontId="16" fillId="0" borderId="2" xfId="1" applyFont="1" applyFill="1" applyBorder="1"/>
    <xf numFmtId="43" fontId="16" fillId="0" borderId="2" xfId="0" applyNumberFormat="1" applyFont="1" applyBorder="1"/>
    <xf numFmtId="0" fontId="16" fillId="0" borderId="0" xfId="0" applyFont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43" fontId="16" fillId="0" borderId="1" xfId="1" applyFont="1" applyFill="1" applyBorder="1"/>
    <xf numFmtId="43" fontId="16" fillId="0" borderId="1" xfId="0" applyNumberFormat="1" applyFont="1" applyBorder="1"/>
    <xf numFmtId="165" fontId="13" fillId="0" borderId="1" xfId="0" applyNumberFormat="1" applyFont="1" applyBorder="1" applyAlignment="1">
      <alignment horizontal="left" wrapText="1"/>
    </xf>
    <xf numFmtId="43" fontId="17" fillId="0" borderId="0" xfId="1" applyFont="1" applyFill="1" applyBorder="1"/>
    <xf numFmtId="43" fontId="16" fillId="0" borderId="0" xfId="1" applyFont="1" applyFill="1" applyBorder="1" applyAlignment="1">
      <alignment horizontal="left"/>
    </xf>
    <xf numFmtId="43" fontId="16" fillId="2" borderId="2" xfId="1" applyFont="1" applyFill="1" applyBorder="1"/>
    <xf numFmtId="0" fontId="16" fillId="2" borderId="1" xfId="0" applyFont="1" applyFill="1" applyBorder="1" applyAlignment="1">
      <alignment horizontal="left"/>
    </xf>
    <xf numFmtId="165" fontId="13" fillId="2" borderId="1" xfId="0" applyNumberFormat="1" applyFont="1" applyFill="1" applyBorder="1" applyAlignment="1">
      <alignment horizontal="left" wrapText="1"/>
    </xf>
    <xf numFmtId="43" fontId="16" fillId="2" borderId="1" xfId="1" applyFont="1" applyFill="1" applyBorder="1"/>
    <xf numFmtId="0" fontId="16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165" fontId="13" fillId="2" borderId="2" xfId="0" applyNumberFormat="1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5" fillId="2" borderId="0" xfId="0" applyFont="1" applyFill="1" applyAlignment="1">
      <alignment horizontal="center"/>
    </xf>
    <xf numFmtId="0" fontId="17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6" fillId="2" borderId="2" xfId="0" applyFont="1" applyFill="1" applyBorder="1" applyAlignment="1">
      <alignment horizontal="left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vertical="center"/>
    </xf>
    <xf numFmtId="43" fontId="16" fillId="0" borderId="2" xfId="1" applyFont="1" applyFill="1" applyBorder="1" applyAlignment="1">
      <alignment vertical="center"/>
    </xf>
    <xf numFmtId="43" fontId="21" fillId="2" borderId="1" xfId="1" applyFont="1" applyFill="1" applyBorder="1"/>
    <xf numFmtId="43" fontId="21" fillId="2" borderId="2" xfId="1" applyFont="1" applyFill="1" applyBorder="1"/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>
      <alignment wrapText="1"/>
    </xf>
    <xf numFmtId="0" fontId="16" fillId="0" borderId="1" xfId="0" applyFont="1" applyBorder="1" applyAlignment="1">
      <alignment horizontal="left" wrapText="1"/>
    </xf>
    <xf numFmtId="43" fontId="13" fillId="2" borderId="1" xfId="1" applyFont="1" applyFill="1" applyBorder="1"/>
    <xf numFmtId="0" fontId="15" fillId="3" borderId="13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43" fontId="11" fillId="2" borderId="0" xfId="0" applyNumberFormat="1" applyFont="1" applyFill="1"/>
    <xf numFmtId="0" fontId="15" fillId="3" borderId="22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/>
    </xf>
    <xf numFmtId="43" fontId="16" fillId="0" borderId="2" xfId="0" applyNumberFormat="1" applyFont="1" applyBorder="1" applyAlignment="1">
      <alignment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left" wrapText="1"/>
    </xf>
    <xf numFmtId="0" fontId="16" fillId="2" borderId="0" xfId="0" applyFont="1" applyFill="1" applyAlignment="1">
      <alignment horizontal="left" wrapText="1"/>
    </xf>
    <xf numFmtId="0" fontId="16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5" fillId="3" borderId="7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wrapText="1"/>
    </xf>
    <xf numFmtId="0" fontId="12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3" fontId="4" fillId="0" borderId="1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vertical="center" wrapText="1"/>
    </xf>
    <xf numFmtId="43" fontId="7" fillId="4" borderId="1" xfId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3" fontId="4" fillId="2" borderId="1" xfId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43" fontId="4" fillId="2" borderId="0" xfId="1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7" fillId="2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vertical="center"/>
    </xf>
    <xf numFmtId="43" fontId="4" fillId="2" borderId="2" xfId="1" applyFont="1" applyFill="1" applyBorder="1" applyAlignment="1">
      <alignment vertical="center"/>
    </xf>
    <xf numFmtId="43" fontId="4" fillId="2" borderId="1" xfId="0" applyNumberFormat="1" applyFont="1" applyFill="1" applyBorder="1" applyAlignment="1">
      <alignment vertical="center"/>
    </xf>
    <xf numFmtId="43" fontId="4" fillId="0" borderId="2" xfId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4" fillId="2" borderId="0" xfId="1" applyFont="1" applyFill="1" applyBorder="1" applyAlignment="1">
      <alignment horizontal="center" vertical="center"/>
    </xf>
    <xf numFmtId="43" fontId="7" fillId="2" borderId="0" xfId="1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/>
    </xf>
    <xf numFmtId="43" fontId="6" fillId="0" borderId="0" xfId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43" fontId="16" fillId="2" borderId="0" xfId="1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4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2" borderId="2" xfId="1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vertical="center"/>
    </xf>
    <xf numFmtId="43" fontId="4" fillId="2" borderId="2" xfId="0" applyNumberFormat="1" applyFont="1" applyFill="1" applyBorder="1" applyAlignment="1">
      <alignment vertical="center"/>
    </xf>
    <xf numFmtId="43" fontId="4" fillId="2" borderId="1" xfId="1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vertical="center"/>
    </xf>
    <xf numFmtId="43" fontId="4" fillId="0" borderId="1" xfId="0" applyNumberFormat="1" applyFont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3" fontId="4" fillId="2" borderId="10" xfId="1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43" fontId="7" fillId="0" borderId="0" xfId="1" applyFont="1" applyFill="1" applyBorder="1" applyAlignment="1">
      <alignment vertical="center"/>
    </xf>
    <xf numFmtId="43" fontId="4" fillId="0" borderId="26" xfId="1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43" fontId="4" fillId="0" borderId="1" xfId="1" applyFont="1" applyFill="1" applyBorder="1" applyAlignment="1">
      <alignment horizontal="left" vertical="center"/>
    </xf>
    <xf numFmtId="43" fontId="4" fillId="0" borderId="2" xfId="1" applyFont="1" applyFill="1" applyBorder="1" applyAlignment="1">
      <alignment horizontal="left" vertical="center"/>
    </xf>
    <xf numFmtId="43" fontId="4" fillId="2" borderId="2" xfId="1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43" fontId="4" fillId="2" borderId="0" xfId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43" fontId="4" fillId="0" borderId="0" xfId="1" applyFont="1" applyFill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2" borderId="1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vertical="center"/>
    </xf>
    <xf numFmtId="164" fontId="4" fillId="0" borderId="2" xfId="0" applyNumberFormat="1" applyFont="1" applyBorder="1" applyAlignment="1">
      <alignment vertical="center"/>
    </xf>
    <xf numFmtId="43" fontId="10" fillId="0" borderId="1" xfId="1" applyFont="1" applyFill="1" applyBorder="1" applyAlignment="1">
      <alignment horizontal="center" vertical="center"/>
    </xf>
    <xf numFmtId="165" fontId="9" fillId="2" borderId="0" xfId="0" applyNumberFormat="1" applyFont="1" applyFill="1" applyAlignment="1">
      <alignment horizontal="left" vertical="center" wrapText="1"/>
    </xf>
    <xf numFmtId="43" fontId="7" fillId="0" borderId="16" xfId="1" applyFont="1" applyFill="1" applyBorder="1" applyAlignment="1">
      <alignment vertical="center"/>
    </xf>
    <xf numFmtId="43" fontId="7" fillId="2" borderId="16" xfId="1" applyFont="1" applyFill="1" applyBorder="1" applyAlignment="1">
      <alignment vertical="center"/>
    </xf>
    <xf numFmtId="0" fontId="7" fillId="2" borderId="19" xfId="0" applyFont="1" applyFill="1" applyBorder="1" applyAlignment="1">
      <alignment horizontal="center" vertical="center" wrapText="1"/>
    </xf>
    <xf numFmtId="43" fontId="7" fillId="2" borderId="3" xfId="1" applyFont="1" applyFill="1" applyBorder="1" applyAlignment="1">
      <alignment vertical="center"/>
    </xf>
    <xf numFmtId="43" fontId="7" fillId="2" borderId="4" xfId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43" fontId="7" fillId="3" borderId="6" xfId="0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43" fontId="4" fillId="2" borderId="0" xfId="0" applyNumberFormat="1" applyFont="1" applyFill="1" applyAlignment="1">
      <alignment vertical="center"/>
    </xf>
    <xf numFmtId="43" fontId="4" fillId="0" borderId="0" xfId="0" applyNumberFormat="1" applyFont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7" fillId="2" borderId="3" xfId="0" applyFont="1" applyFill="1" applyBorder="1" applyAlignment="1">
      <alignment vertical="center"/>
    </xf>
    <xf numFmtId="0" fontId="17" fillId="2" borderId="16" xfId="0" applyFont="1" applyFill="1" applyBorder="1" applyAlignment="1">
      <alignment vertical="center"/>
    </xf>
    <xf numFmtId="0" fontId="17" fillId="2" borderId="5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  <xf numFmtId="43" fontId="16" fillId="2" borderId="2" xfId="1" applyFont="1" applyFill="1" applyBorder="1" applyAlignment="1">
      <alignment vertical="center"/>
    </xf>
    <xf numFmtId="43" fontId="16" fillId="2" borderId="1" xfId="1" applyFont="1" applyFill="1" applyBorder="1" applyAlignment="1">
      <alignment vertical="center"/>
    </xf>
    <xf numFmtId="43" fontId="16" fillId="2" borderId="2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43" fontId="16" fillId="0" borderId="0" xfId="1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/>
    </xf>
    <xf numFmtId="43" fontId="16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vertical="center"/>
    </xf>
    <xf numFmtId="0" fontId="17" fillId="2" borderId="11" xfId="0" applyFont="1" applyFill="1" applyBorder="1" applyAlignment="1">
      <alignment vertical="center"/>
    </xf>
    <xf numFmtId="43" fontId="17" fillId="4" borderId="1" xfId="1" applyFont="1" applyFill="1" applyBorder="1" applyAlignment="1">
      <alignment vertical="center"/>
    </xf>
    <xf numFmtId="43" fontId="17" fillId="2" borderId="0" xfId="1" applyFont="1" applyFill="1" applyBorder="1" applyAlignment="1">
      <alignment vertical="center"/>
    </xf>
    <xf numFmtId="43" fontId="16" fillId="2" borderId="0" xfId="1" applyFont="1" applyFill="1" applyBorder="1" applyAlignment="1">
      <alignment horizontal="center" vertical="center"/>
    </xf>
    <xf numFmtId="165" fontId="13" fillId="2" borderId="0" xfId="0" applyNumberFormat="1" applyFont="1" applyFill="1" applyAlignment="1">
      <alignment horizontal="left" vertical="center" wrapText="1"/>
    </xf>
    <xf numFmtId="0" fontId="15" fillId="2" borderId="4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4" fillId="2" borderId="0" xfId="0" applyFont="1" applyFill="1" applyAlignment="1">
      <alignment horizontal="left" vertical="center"/>
    </xf>
    <xf numFmtId="165" fontId="13" fillId="2" borderId="1" xfId="0" applyNumberFormat="1" applyFont="1" applyFill="1" applyBorder="1" applyAlignment="1">
      <alignment horizontal="left" vertical="center" wrapText="1"/>
    </xf>
    <xf numFmtId="43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7" fillId="2" borderId="10" xfId="0" applyFont="1" applyFill="1" applyBorder="1" applyAlignment="1">
      <alignment vertical="center"/>
    </xf>
    <xf numFmtId="43" fontId="16" fillId="2" borderId="0" xfId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/>
    </xf>
    <xf numFmtId="43" fontId="17" fillId="0" borderId="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165" fontId="13" fillId="0" borderId="2" xfId="0" applyNumberFormat="1" applyFont="1" applyBorder="1" applyAlignment="1">
      <alignment horizontal="left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165" fontId="13" fillId="0" borderId="1" xfId="0" applyNumberFormat="1" applyFont="1" applyBorder="1" applyAlignment="1">
      <alignment horizontal="left" vertical="center" wrapText="1"/>
    </xf>
    <xf numFmtId="0" fontId="15" fillId="2" borderId="5" xfId="0" applyFont="1" applyFill="1" applyBorder="1" applyAlignment="1">
      <alignment vertical="center" wrapText="1"/>
    </xf>
    <xf numFmtId="43" fontId="16" fillId="0" borderId="0" xfId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43" fontId="18" fillId="2" borderId="1" xfId="1" applyFont="1" applyFill="1" applyBorder="1" applyAlignment="1">
      <alignment horizontal="center" vertical="center"/>
    </xf>
    <xf numFmtId="165" fontId="13" fillId="0" borderId="1" xfId="0" applyNumberFormat="1" applyFont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43" fontId="15" fillId="2" borderId="0" xfId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 vertical="center"/>
    </xf>
    <xf numFmtId="43" fontId="16" fillId="2" borderId="12" xfId="1" applyFont="1" applyFill="1" applyBorder="1" applyAlignment="1">
      <alignment vertical="center"/>
    </xf>
    <xf numFmtId="43" fontId="16" fillId="0" borderId="12" xfId="1" applyFont="1" applyFill="1" applyBorder="1" applyAlignment="1">
      <alignment vertical="center"/>
    </xf>
    <xf numFmtId="43" fontId="16" fillId="0" borderId="0" xfId="0" applyNumberFormat="1" applyFont="1" applyAlignment="1">
      <alignment vertical="center"/>
    </xf>
    <xf numFmtId="0" fontId="15" fillId="2" borderId="14" xfId="0" applyFont="1" applyFill="1" applyBorder="1" applyAlignment="1">
      <alignment vertical="center"/>
    </xf>
    <xf numFmtId="0" fontId="15" fillId="2" borderId="15" xfId="0" applyFont="1" applyFill="1" applyBorder="1" applyAlignment="1">
      <alignment vertical="center"/>
    </xf>
    <xf numFmtId="43" fontId="17" fillId="2" borderId="0" xfId="1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165" fontId="12" fillId="2" borderId="0" xfId="0" applyNumberFormat="1" applyFont="1" applyFill="1" applyAlignment="1">
      <alignment horizontal="left" vertical="center" wrapText="1"/>
    </xf>
    <xf numFmtId="0" fontId="16" fillId="0" borderId="11" xfId="0" applyFont="1" applyBorder="1" applyAlignment="1">
      <alignment horizontal="left" vertical="center"/>
    </xf>
    <xf numFmtId="43" fontId="16" fillId="2" borderId="1" xfId="1" applyFont="1" applyFill="1" applyBorder="1" applyAlignment="1">
      <alignment horizontal="center" vertical="center"/>
    </xf>
    <xf numFmtId="43" fontId="17" fillId="0" borderId="0" xfId="1" applyFont="1" applyFill="1" applyBorder="1" applyAlignment="1">
      <alignment horizontal="left" vertical="center"/>
    </xf>
    <xf numFmtId="43" fontId="16" fillId="0" borderId="0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43" fontId="17" fillId="3" borderId="6" xfId="0" applyNumberFormat="1" applyFont="1" applyFill="1" applyBorder="1" applyAlignment="1">
      <alignment vertical="center"/>
    </xf>
    <xf numFmtId="43" fontId="16" fillId="2" borderId="0" xfId="0" applyNumberFormat="1" applyFont="1" applyFill="1" applyAlignment="1">
      <alignment vertical="center"/>
    </xf>
    <xf numFmtId="0" fontId="16" fillId="0" borderId="11" xfId="0" applyFont="1" applyBorder="1" applyAlignment="1">
      <alignment horizontal="left" vertical="center" wrapText="1"/>
    </xf>
    <xf numFmtId="43" fontId="4" fillId="0" borderId="2" xfId="1" applyFont="1" applyFill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43" fontId="16" fillId="0" borderId="2" xfId="1" applyFont="1" applyFill="1" applyBorder="1" applyAlignment="1">
      <alignment wrapText="1"/>
    </xf>
    <xf numFmtId="4" fontId="16" fillId="2" borderId="0" xfId="0" applyNumberFormat="1" applyFont="1" applyFill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43" fontId="4" fillId="2" borderId="28" xfId="1" applyFont="1" applyFill="1" applyBorder="1" applyAlignment="1">
      <alignment horizontal="center" vertical="center"/>
    </xf>
    <xf numFmtId="43" fontId="4" fillId="2" borderId="27" xfId="1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31" applyFont="1"/>
    <xf numFmtId="0" fontId="4" fillId="2" borderId="32" xfId="0" applyFont="1" applyFill="1" applyBorder="1" applyAlignment="1">
      <alignment horizontal="center" vertical="center"/>
    </xf>
    <xf numFmtId="43" fontId="6" fillId="3" borderId="6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left" vertical="center" wrapText="1"/>
    </xf>
    <xf numFmtId="43" fontId="4" fillId="2" borderId="29" xfId="1" applyFont="1" applyFill="1" applyBorder="1" applyAlignment="1">
      <alignment horizontal="center" vertical="center"/>
    </xf>
    <xf numFmtId="43" fontId="4" fillId="2" borderId="30" xfId="1" applyFont="1" applyFill="1" applyBorder="1" applyAlignment="1">
      <alignment horizontal="center" vertical="center"/>
    </xf>
    <xf numFmtId="43" fontId="4" fillId="2" borderId="10" xfId="1" applyFont="1" applyFill="1" applyBorder="1" applyAlignment="1">
      <alignment horizontal="center" vertical="center"/>
    </xf>
    <xf numFmtId="165" fontId="9" fillId="2" borderId="2" xfId="0" applyNumberFormat="1" applyFont="1" applyFill="1" applyBorder="1" applyAlignment="1">
      <alignment horizontal="left" vertical="center" wrapText="1"/>
    </xf>
    <xf numFmtId="43" fontId="4" fillId="2" borderId="2" xfId="0" applyNumberFormat="1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left" vertical="center" wrapText="1"/>
    </xf>
    <xf numFmtId="43" fontId="16" fillId="2" borderId="0" xfId="1" applyFont="1" applyFill="1" applyBorder="1" applyAlignment="1">
      <alignment horizontal="left" wrapText="1"/>
    </xf>
    <xf numFmtId="43" fontId="4" fillId="2" borderId="1" xfId="1" applyFont="1" applyFill="1" applyBorder="1" applyAlignment="1">
      <alignment horizontal="left" vertical="center" wrapText="1"/>
    </xf>
    <xf numFmtId="43" fontId="4" fillId="2" borderId="2" xfId="1" applyFont="1" applyFill="1" applyBorder="1" applyAlignment="1">
      <alignment horizontal="left" vertical="center" wrapText="1"/>
    </xf>
    <xf numFmtId="43" fontId="4" fillId="2" borderId="0" xfId="31" applyFont="1" applyFill="1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43" fontId="16" fillId="2" borderId="0" xfId="31" applyFont="1" applyFill="1" applyAlignment="1">
      <alignment vertical="center"/>
    </xf>
    <xf numFmtId="0" fontId="12" fillId="0" borderId="0" xfId="0" applyFont="1" applyAlignment="1">
      <alignment vertical="center"/>
    </xf>
    <xf numFmtId="43" fontId="24" fillId="2" borderId="2" xfId="1" applyFont="1" applyFill="1" applyBorder="1" applyAlignment="1">
      <alignment vertical="center"/>
    </xf>
    <xf numFmtId="0" fontId="7" fillId="2" borderId="0" xfId="0" applyFont="1" applyFill="1"/>
    <xf numFmtId="43" fontId="11" fillId="0" borderId="0" xfId="1" applyFont="1" applyFill="1" applyBorder="1" applyAlignment="1">
      <alignment vertical="center"/>
    </xf>
    <xf numFmtId="0" fontId="4" fillId="6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43" fontId="4" fillId="0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165" fontId="9" fillId="0" borderId="0" xfId="0" applyNumberFormat="1" applyFont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43" fontId="7" fillId="0" borderId="3" xfId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3" fontId="16" fillId="5" borderId="0" xfId="1" applyFont="1" applyFill="1" applyBorder="1"/>
    <xf numFmtId="43" fontId="17" fillId="5" borderId="0" xfId="1" applyFont="1" applyFill="1" applyBorder="1"/>
    <xf numFmtId="43" fontId="16" fillId="6" borderId="0" xfId="1" applyFont="1" applyFill="1" applyBorder="1"/>
    <xf numFmtId="0" fontId="0" fillId="5" borderId="0" xfId="0" applyFill="1"/>
    <xf numFmtId="0" fontId="4" fillId="5" borderId="0" xfId="0" applyFont="1" applyFill="1"/>
    <xf numFmtId="43" fontId="16" fillId="7" borderId="0" xfId="1" applyFont="1" applyFill="1" applyBorder="1"/>
    <xf numFmtId="0" fontId="16" fillId="7" borderId="0" xfId="0" applyFont="1" applyFill="1"/>
    <xf numFmtId="0" fontId="17" fillId="2" borderId="9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horizontal="left" wrapText="1"/>
    </xf>
    <xf numFmtId="0" fontId="15" fillId="2" borderId="5" xfId="0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2" borderId="4" xfId="0" applyFont="1" applyFill="1" applyBorder="1" applyAlignment="1">
      <alignment horizontal="left"/>
    </xf>
    <xf numFmtId="0" fontId="15" fillId="2" borderId="3" xfId="0" applyFont="1" applyFill="1" applyBorder="1" applyAlignment="1">
      <alignment horizontal="left"/>
    </xf>
    <xf numFmtId="0" fontId="15" fillId="2" borderId="5" xfId="0" applyFont="1" applyFill="1" applyBorder="1" applyAlignment="1">
      <alignment horizontal="left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2" borderId="4" xfId="0" applyFont="1" applyFill="1" applyBorder="1" applyAlignment="1">
      <alignment horizontal="left"/>
    </xf>
    <xf numFmtId="0" fontId="17" fillId="2" borderId="3" xfId="0" applyFont="1" applyFill="1" applyBorder="1" applyAlignment="1">
      <alignment horizontal="left"/>
    </xf>
    <xf numFmtId="0" fontId="17" fillId="2" borderId="5" xfId="0" applyFont="1" applyFill="1" applyBorder="1" applyAlignment="1">
      <alignment horizontal="left"/>
    </xf>
    <xf numFmtId="0" fontId="23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23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43" fontId="12" fillId="0" borderId="0" xfId="0" applyNumberFormat="1" applyFont="1" applyAlignment="1">
      <alignment horizontal="center" vertical="center"/>
    </xf>
  </cellXfs>
  <cellStyles count="32">
    <cellStyle name="Millares" xfId="31" builtinId="3"/>
    <cellStyle name="Millares 10" xfId="28" xr:uid="{A1812EB1-099C-489F-BD4B-9331174850D3}"/>
    <cellStyle name="Millares 11" xfId="30" xr:uid="{88F5A490-33E3-4A80-AE0D-3501E7C5C4BB}"/>
    <cellStyle name="Millares 2" xfId="1" xr:uid="{00000000-0005-0000-0000-000000000000}"/>
    <cellStyle name="Millares 3" xfId="11" xr:uid="{1BDAD391-44FC-4964-B27B-A5515593D34A}"/>
    <cellStyle name="Millares 4" xfId="8" xr:uid="{5A81BC19-F01F-445B-B575-807984D75921}"/>
    <cellStyle name="Millares 5" xfId="13" xr:uid="{16FC1B75-CD4C-490E-84A7-8342D2158C6F}"/>
    <cellStyle name="Millares 5 2" xfId="16" xr:uid="{2F73F8E3-B082-4DA0-8FA3-B55F13BB6471}"/>
    <cellStyle name="Millares 6" xfId="19" xr:uid="{1116D646-CFE8-4986-BBFE-64E57CB9F20E}"/>
    <cellStyle name="Millares 7" xfId="21" xr:uid="{20837FE3-AA14-4EA1-ACD4-34B18081A379}"/>
    <cellStyle name="Millares 8" xfId="24" xr:uid="{429BCF8A-9451-4AC4-BEE5-9B79D326D47F}"/>
    <cellStyle name="Millares 9" xfId="26" xr:uid="{E3F93CF0-C688-4E40-91CC-7CEAB7D6212E}"/>
    <cellStyle name="Normal" xfId="0" builtinId="0"/>
    <cellStyle name="Normal 10" xfId="25" xr:uid="{A986ACD0-4919-4E76-B287-9DC1636B4AC6}"/>
    <cellStyle name="Normal 11" xfId="27" xr:uid="{A0A5454F-E5B6-4470-A4BE-66E01B2937CC}"/>
    <cellStyle name="Normal 12" xfId="29" xr:uid="{46109871-8CB9-4BCE-B093-BBF2C9065398}"/>
    <cellStyle name="Normal 2" xfId="2" xr:uid="{00000000-0005-0000-0000-000002000000}"/>
    <cellStyle name="Normal 2 2" xfId="5" xr:uid="{355A2DC8-FDAF-475D-A151-371C4C35D1FE}"/>
    <cellStyle name="Normal 2 2 2" xfId="7" xr:uid="{3F33EDD5-9E72-45A2-A7F5-1036D312FACB}"/>
    <cellStyle name="Normal 2 3" xfId="6" xr:uid="{21AB0A06-95D1-48DC-BF56-46F9FE9D9067}"/>
    <cellStyle name="Normal 2 4" xfId="3" xr:uid="{49F575B4-BF73-497E-8529-01B56A6E4F85}"/>
    <cellStyle name="Normal 2 5" xfId="4" xr:uid="{2BA7B32C-4C0B-406E-99D7-EAFD96E51590}"/>
    <cellStyle name="Normal 3" xfId="10" xr:uid="{07DED5AB-F986-4854-8208-5CC92AA045D4}"/>
    <cellStyle name="Normal 3 2" xfId="14" xr:uid="{84117EFB-0886-44B8-803E-3CD6EDB11B62}"/>
    <cellStyle name="Normal 3 2 2" xfId="17" xr:uid="{23DBD80E-92B1-412B-BE6E-EBCDCFBEA908}"/>
    <cellStyle name="Normal 4" xfId="9" xr:uid="{5C654990-97D3-452C-BBCA-23C67D22AAA4}"/>
    <cellStyle name="Normal 5" xfId="12" xr:uid="{3417A255-E8DE-41D2-B6BB-61E050158AC4}"/>
    <cellStyle name="Normal 5 2" xfId="15" xr:uid="{1B339846-3A99-4CD1-9CFC-5B7BCE2D483C}"/>
    <cellStyle name="Normal 6" xfId="18" xr:uid="{8156C610-5D69-4FDE-BF57-2C0AD3398769}"/>
    <cellStyle name="Normal 7" xfId="20" xr:uid="{663E8CD3-97DD-4DD2-B2A4-58CB9167116C}"/>
    <cellStyle name="Normal 8" xfId="22" xr:uid="{72E57060-E750-4048-859E-9FF84F3029A5}"/>
    <cellStyle name="Normal 9" xfId="23" xr:uid="{D9CDADF9-F41E-4735-915D-72B12F08C5A6}"/>
  </cellStyles>
  <dxfs count="0"/>
  <tableStyles count="2" defaultTableStyle="TableStyleMedium2" defaultPivotStyle="PivotStyleLight16">
    <tableStyle name="Estilo de tabla 1" pivot="0" count="0" xr9:uid="{031CC914-DB70-4736-842E-A824026707CB}"/>
    <tableStyle name="Invisible" pivot="0" table="0" count="0" xr9:uid="{575D3386-A191-41BB-9C46-E5CD18BD08C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727058</xdr:colOff>
      <xdr:row>0</xdr:row>
      <xdr:rowOff>0</xdr:rowOff>
    </xdr:from>
    <xdr:to>
      <xdr:col>1</xdr:col>
      <xdr:colOff>2416084</xdr:colOff>
      <xdr:row>3</xdr:row>
      <xdr:rowOff>115055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9701" y="0"/>
          <a:ext cx="1681406" cy="1067555"/>
        </a:xfrm>
        <a:prstGeom prst="rect">
          <a:avLst/>
        </a:prstGeom>
      </xdr:spPr>
    </xdr:pic>
    <xdr:clientData/>
  </xdr:twoCellAnchor>
  <xdr:twoCellAnchor editAs="oneCell">
    <xdr:from>
      <xdr:col>3</xdr:col>
      <xdr:colOff>602115</xdr:colOff>
      <xdr:row>344</xdr:row>
      <xdr:rowOff>139472</xdr:rowOff>
    </xdr:from>
    <xdr:to>
      <xdr:col>3</xdr:col>
      <xdr:colOff>2002793</xdr:colOff>
      <xdr:row>347</xdr:row>
      <xdr:rowOff>248014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1F6AB6-596F-5D7F-5F66-78F413CFA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12115" y="167779472"/>
          <a:ext cx="1408298" cy="13810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714899</xdr:colOff>
      <xdr:row>0</xdr:row>
      <xdr:rowOff>362160</xdr:rowOff>
    </xdr:from>
    <xdr:to>
      <xdr:col>2</xdr:col>
      <xdr:colOff>60880</xdr:colOff>
      <xdr:row>3</xdr:row>
      <xdr:rowOff>173316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0328" y="362160"/>
          <a:ext cx="1937053" cy="1022192"/>
        </a:xfrm>
        <a:prstGeom prst="rect">
          <a:avLst/>
        </a:prstGeom>
      </xdr:spPr>
    </xdr:pic>
    <xdr:clientData/>
  </xdr:twoCellAnchor>
  <xdr:twoCellAnchor editAs="oneCell">
    <xdr:from>
      <xdr:col>3</xdr:col>
      <xdr:colOff>883467</xdr:colOff>
      <xdr:row>275</xdr:row>
      <xdr:rowOff>265248</xdr:rowOff>
    </xdr:from>
    <xdr:to>
      <xdr:col>3</xdr:col>
      <xdr:colOff>2291319</xdr:colOff>
      <xdr:row>278</xdr:row>
      <xdr:rowOff>165056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11D36D-35C8-0EE0-0C10-FDD7A9F1B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88717" y="135767898"/>
          <a:ext cx="1405451" cy="14142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316442</xdr:colOff>
      <xdr:row>0</xdr:row>
      <xdr:rowOff>0</xdr:rowOff>
    </xdr:from>
    <xdr:to>
      <xdr:col>2</xdr:col>
      <xdr:colOff>1694775</xdr:colOff>
      <xdr:row>4</xdr:row>
      <xdr:rowOff>153458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FF8435-D002-4DC5-8F87-B78B272B7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442" y="0"/>
          <a:ext cx="1814578" cy="1122891"/>
        </a:xfrm>
        <a:prstGeom prst="rect">
          <a:avLst/>
        </a:prstGeom>
      </xdr:spPr>
    </xdr:pic>
    <xdr:clientData/>
  </xdr:twoCellAnchor>
  <xdr:twoCellAnchor editAs="oneCell">
    <xdr:from>
      <xdr:col>4</xdr:col>
      <xdr:colOff>880269</xdr:colOff>
      <xdr:row>121</xdr:row>
      <xdr:rowOff>42069</xdr:rowOff>
    </xdr:from>
    <xdr:to>
      <xdr:col>4</xdr:col>
      <xdr:colOff>2288567</xdr:colOff>
      <xdr:row>125</xdr:row>
      <xdr:rowOff>230376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C16A0C-87E0-2F61-159E-7032F520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82394" y="36840319"/>
          <a:ext cx="1408298" cy="14424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632990</xdr:colOff>
      <xdr:row>0</xdr:row>
      <xdr:rowOff>0</xdr:rowOff>
    </xdr:from>
    <xdr:to>
      <xdr:col>1</xdr:col>
      <xdr:colOff>2516861</xdr:colOff>
      <xdr:row>4</xdr:row>
      <xdr:rowOff>136617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0030" y="152400"/>
          <a:ext cx="1883871" cy="1121661"/>
        </a:xfrm>
        <a:prstGeom prst="rect">
          <a:avLst/>
        </a:prstGeom>
      </xdr:spPr>
    </xdr:pic>
    <xdr:clientData/>
  </xdr:twoCellAnchor>
  <xdr:twoCellAnchor editAs="oneCell">
    <xdr:from>
      <xdr:col>3</xdr:col>
      <xdr:colOff>1125435</xdr:colOff>
      <xdr:row>21</xdr:row>
      <xdr:rowOff>320853</xdr:rowOff>
    </xdr:from>
    <xdr:to>
      <xdr:col>3</xdr:col>
      <xdr:colOff>2529923</xdr:colOff>
      <xdr:row>24</xdr:row>
      <xdr:rowOff>169926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61691F-8734-EE63-A27C-EF4A0CB18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69906" y="8814912"/>
          <a:ext cx="1412108" cy="13694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727058</xdr:colOff>
      <xdr:row>0</xdr:row>
      <xdr:rowOff>0</xdr:rowOff>
    </xdr:from>
    <xdr:to>
      <xdr:col>1</xdr:col>
      <xdr:colOff>2412274</xdr:colOff>
      <xdr:row>3</xdr:row>
      <xdr:rowOff>115055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E45BB5-EC66-4B97-A9E5-F57F770C2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5683" y="0"/>
          <a:ext cx="1685216" cy="1058030"/>
        </a:xfrm>
        <a:prstGeom prst="rect">
          <a:avLst/>
        </a:prstGeom>
      </xdr:spPr>
    </xdr:pic>
    <xdr:clientData/>
  </xdr:twoCellAnchor>
  <xdr:twoCellAnchor editAs="oneCell">
    <xdr:from>
      <xdr:col>3</xdr:col>
      <xdr:colOff>1091972</xdr:colOff>
      <xdr:row>10</xdr:row>
      <xdr:rowOff>85043</xdr:rowOff>
    </xdr:from>
    <xdr:to>
      <xdr:col>3</xdr:col>
      <xdr:colOff>2496460</xdr:colOff>
      <xdr:row>13</xdr:row>
      <xdr:rowOff>184061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465DBF6-E75F-4626-8E8D-5725FF305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8365" y="4235222"/>
          <a:ext cx="1404488" cy="1405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00184"/>
  <sheetViews>
    <sheetView showGridLines="0" zoomScale="72" zoomScaleNormal="72" zoomScaleSheetLayoutView="55" workbookViewId="0">
      <pane xSplit="4" ySplit="3" topLeftCell="E310" activePane="bottomRight" state="frozen"/>
      <selection pane="topRight" activeCell="E1" sqref="E1"/>
      <selection pane="bottomLeft" activeCell="A4" sqref="A4"/>
      <selection pane="bottomRight" activeCell="E5" sqref="E5"/>
    </sheetView>
  </sheetViews>
  <sheetFormatPr baseColWidth="10" defaultColWidth="11.42578125" defaultRowHeight="35.1" customHeight="1" x14ac:dyDescent="0.2"/>
  <cols>
    <col min="1" max="1" width="7.140625" style="113" customWidth="1"/>
    <col min="2" max="2" width="41.140625" style="144" customWidth="1"/>
    <col min="3" max="3" width="9.140625" style="113" customWidth="1"/>
    <col min="4" max="4" width="32.28515625" style="144" customWidth="1"/>
    <col min="5" max="5" width="29.28515625" style="144" customWidth="1"/>
    <col min="6" max="6" width="21.7109375" style="111" customWidth="1"/>
    <col min="7" max="7" width="20.28515625" style="110" customWidth="1"/>
    <col min="8" max="8" width="24" style="110" customWidth="1"/>
    <col min="9" max="9" width="23.140625" style="110" customWidth="1"/>
    <col min="10" max="10" width="21.5703125" style="110" bestFit="1" customWidth="1"/>
    <col min="11" max="11" width="24" style="110" customWidth="1"/>
    <col min="12" max="12" width="22.28515625" style="110" customWidth="1"/>
    <col min="13" max="13" width="19" style="110" customWidth="1"/>
    <col min="14" max="15" width="22.85546875" style="110" customWidth="1"/>
    <col min="16" max="16" width="11.42578125" style="99"/>
    <col min="17" max="16384" width="11.42578125" style="110"/>
  </cols>
  <sheetData>
    <row r="1" spans="1:49" ht="26.25" customHeight="1" x14ac:dyDescent="0.2">
      <c r="A1" s="377" t="s">
        <v>325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</row>
    <row r="2" spans="1:49" ht="26.25" customHeight="1" x14ac:dyDescent="0.2">
      <c r="A2" s="378" t="s">
        <v>329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</row>
    <row r="3" spans="1:49" ht="21.75" customHeight="1" x14ac:dyDescent="0.2">
      <c r="A3" s="379" t="s">
        <v>664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</row>
    <row r="4" spans="1:49" ht="35.1" customHeight="1" thickBot="1" x14ac:dyDescent="0.25">
      <c r="A4" s="138"/>
      <c r="B4" s="138"/>
      <c r="C4" s="106"/>
      <c r="D4" s="143"/>
      <c r="E4" s="143"/>
      <c r="F4" s="106"/>
    </row>
    <row r="5" spans="1:49" ht="35.1" customHeight="1" thickBot="1" x14ac:dyDescent="0.25">
      <c r="A5" s="204" t="s">
        <v>431</v>
      </c>
      <c r="B5" s="205"/>
      <c r="C5" s="204"/>
      <c r="D5" s="205"/>
      <c r="E5" s="205"/>
      <c r="F5" s="206"/>
      <c r="G5" s="380" t="s">
        <v>95</v>
      </c>
      <c r="H5" s="381"/>
      <c r="I5" s="381"/>
      <c r="J5" s="382"/>
      <c r="K5" s="95"/>
      <c r="L5" s="149"/>
      <c r="M5" s="149"/>
      <c r="N5" s="149"/>
      <c r="O5" s="149"/>
    </row>
    <row r="6" spans="1:49" s="207" customFormat="1" ht="35.1" customHeight="1" thickBot="1" x14ac:dyDescent="0.25">
      <c r="A6" s="19" t="s">
        <v>0</v>
      </c>
      <c r="B6" s="19" t="s">
        <v>293</v>
      </c>
      <c r="C6" s="19" t="s">
        <v>337</v>
      </c>
      <c r="D6" s="19" t="s">
        <v>349</v>
      </c>
      <c r="E6" s="19" t="s">
        <v>89</v>
      </c>
      <c r="F6" s="77" t="s">
        <v>98</v>
      </c>
      <c r="G6" s="78" t="s">
        <v>1</v>
      </c>
      <c r="H6" s="79" t="s">
        <v>2</v>
      </c>
      <c r="I6" s="82" t="s">
        <v>436</v>
      </c>
      <c r="J6" s="83" t="s">
        <v>437</v>
      </c>
      <c r="K6" s="80" t="s">
        <v>438</v>
      </c>
      <c r="L6" s="21" t="s">
        <v>90</v>
      </c>
      <c r="M6" s="21" t="s">
        <v>92</v>
      </c>
      <c r="N6" s="21" t="s">
        <v>3</v>
      </c>
      <c r="O6" s="21" t="s">
        <v>91</v>
      </c>
      <c r="P6" s="320"/>
    </row>
    <row r="7" spans="1:49" s="205" customFormat="1" ht="35.1" customHeight="1" thickBot="1" x14ac:dyDescent="0.25">
      <c r="A7" s="208" t="s">
        <v>199</v>
      </c>
      <c r="B7" s="209"/>
      <c r="C7" s="209"/>
      <c r="D7" s="209"/>
      <c r="E7" s="209"/>
      <c r="F7" s="209"/>
      <c r="G7" s="210"/>
      <c r="H7" s="210"/>
      <c r="I7" s="210"/>
      <c r="J7" s="210"/>
      <c r="K7" s="209"/>
      <c r="L7" s="209"/>
      <c r="M7" s="209"/>
      <c r="N7" s="209"/>
      <c r="O7" s="211"/>
      <c r="P7" s="212"/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212"/>
      <c r="AV7" s="212"/>
      <c r="AW7" s="212"/>
    </row>
    <row r="8" spans="1:49" s="218" customFormat="1" ht="35.1" customHeight="1" x14ac:dyDescent="0.2">
      <c r="A8" s="213">
        <v>1</v>
      </c>
      <c r="B8" s="214" t="s">
        <v>198</v>
      </c>
      <c r="C8" s="213" t="s">
        <v>335</v>
      </c>
      <c r="D8" s="214" t="s">
        <v>194</v>
      </c>
      <c r="E8" s="88" t="s">
        <v>350</v>
      </c>
      <c r="F8" s="215">
        <v>245000</v>
      </c>
      <c r="G8" s="215">
        <f t="shared" ref="G8:G16" si="0">F8*2.87%</f>
        <v>7031.5</v>
      </c>
      <c r="H8" s="216">
        <v>7059.7920000000004</v>
      </c>
      <c r="I8" s="215">
        <v>1919.78</v>
      </c>
      <c r="J8" s="215">
        <f t="shared" ref="J8:J16" si="1">+G8+H8+I8</f>
        <v>16011.072000000002</v>
      </c>
      <c r="K8" s="215">
        <f t="shared" ref="K8:K16" si="2">+F8-J8</f>
        <v>228988.92799999999</v>
      </c>
      <c r="L8" s="215">
        <f>+IF(K8*12&lt;=416220.01,0,IF(K8*12&lt;=624329.01,(((K8*12-416220.01)*0.15)/12),IF((K8*12&lt;=867123.01),(31216+0.2*(K8*12-624329.01))/12,((79776+0.25*(K8*12-867123.01))/12))))</f>
        <v>45830.169291666673</v>
      </c>
      <c r="M8" s="217">
        <v>25</v>
      </c>
      <c r="N8" s="215">
        <f t="shared" ref="N8:N16" si="3">+M8+I8+H8+G8+L8</f>
        <v>61866.241291666673</v>
      </c>
      <c r="O8" s="217">
        <f t="shared" ref="O8:O16" si="4">+F8-N8</f>
        <v>183133.75870833333</v>
      </c>
    </row>
    <row r="9" spans="1:49" s="219" customFormat="1" ht="35.1" customHeight="1" x14ac:dyDescent="0.2">
      <c r="A9" s="73">
        <v>2</v>
      </c>
      <c r="B9" s="72" t="s">
        <v>195</v>
      </c>
      <c r="C9" s="73" t="s">
        <v>336</v>
      </c>
      <c r="D9" s="72" t="s">
        <v>81</v>
      </c>
      <c r="E9" s="88" t="s">
        <v>515</v>
      </c>
      <c r="F9" s="216">
        <v>140000</v>
      </c>
      <c r="G9" s="216">
        <f t="shared" si="0"/>
        <v>4018</v>
      </c>
      <c r="H9" s="216">
        <f t="shared" ref="H9:H16" si="5">+F9*3.04%</f>
        <v>4256</v>
      </c>
      <c r="I9" s="215">
        <v>1919.78</v>
      </c>
      <c r="J9" s="215">
        <f t="shared" si="1"/>
        <v>10193.780000000001</v>
      </c>
      <c r="K9" s="215">
        <f>+F9-J9</f>
        <v>129806.22</v>
      </c>
      <c r="L9" s="215">
        <v>21034.49</v>
      </c>
      <c r="M9" s="221">
        <v>225</v>
      </c>
      <c r="N9" s="215">
        <f t="shared" si="3"/>
        <v>31453.27</v>
      </c>
      <c r="O9" s="217">
        <f t="shared" si="4"/>
        <v>108546.73</v>
      </c>
    </row>
    <row r="10" spans="1:49" s="219" customFormat="1" ht="35.1" customHeight="1" x14ac:dyDescent="0.2">
      <c r="A10" s="73">
        <v>3</v>
      </c>
      <c r="B10" s="214" t="s">
        <v>478</v>
      </c>
      <c r="C10" s="213" t="s">
        <v>336</v>
      </c>
      <c r="D10" s="220" t="s">
        <v>613</v>
      </c>
      <c r="E10" s="72" t="s">
        <v>515</v>
      </c>
      <c r="F10" s="215">
        <v>50000</v>
      </c>
      <c r="G10" s="215">
        <f>F10*2.87%</f>
        <v>1435</v>
      </c>
      <c r="H10" s="215">
        <f>+F10*3.04%</f>
        <v>1520</v>
      </c>
      <c r="I10" s="215"/>
      <c r="J10" s="215">
        <f>+G10+H10+I10</f>
        <v>2955</v>
      </c>
      <c r="K10" s="215">
        <f>+F10-J10</f>
        <v>47045</v>
      </c>
      <c r="L10" s="215">
        <v>0</v>
      </c>
      <c r="M10" s="221">
        <v>225</v>
      </c>
      <c r="N10" s="215">
        <f t="shared" si="3"/>
        <v>3180</v>
      </c>
      <c r="O10" s="221">
        <f t="shared" si="4"/>
        <v>46820</v>
      </c>
    </row>
    <row r="11" spans="1:49" s="219" customFormat="1" ht="35.1" customHeight="1" x14ac:dyDescent="0.2">
      <c r="A11" s="213">
        <f>+A10+1</f>
        <v>4</v>
      </c>
      <c r="B11" s="214" t="s">
        <v>196</v>
      </c>
      <c r="C11" s="213" t="s">
        <v>336</v>
      </c>
      <c r="D11" s="220" t="s">
        <v>66</v>
      </c>
      <c r="E11" s="72" t="s">
        <v>97</v>
      </c>
      <c r="F11" s="215">
        <v>41500</v>
      </c>
      <c r="G11" s="215">
        <f t="shared" si="0"/>
        <v>1191.05</v>
      </c>
      <c r="H11" s="215">
        <f t="shared" si="5"/>
        <v>1261.5999999999999</v>
      </c>
      <c r="I11" s="215"/>
      <c r="J11" s="215">
        <f t="shared" si="1"/>
        <v>2452.6499999999996</v>
      </c>
      <c r="K11" s="215">
        <f t="shared" si="2"/>
        <v>39047.35</v>
      </c>
      <c r="L11" s="215">
        <v>0</v>
      </c>
      <c r="M11" s="221">
        <v>5351.9</v>
      </c>
      <c r="N11" s="215">
        <f t="shared" si="3"/>
        <v>7804.55</v>
      </c>
      <c r="O11" s="221">
        <f t="shared" si="4"/>
        <v>33695.449999999997</v>
      </c>
    </row>
    <row r="12" spans="1:49" s="219" customFormat="1" ht="35.1" customHeight="1" x14ac:dyDescent="0.2">
      <c r="A12" s="73">
        <v>5</v>
      </c>
      <c r="B12" s="214" t="s">
        <v>197</v>
      </c>
      <c r="C12" s="213" t="s">
        <v>336</v>
      </c>
      <c r="D12" s="220" t="s">
        <v>66</v>
      </c>
      <c r="E12" s="72" t="s">
        <v>97</v>
      </c>
      <c r="F12" s="215">
        <v>41500</v>
      </c>
      <c r="G12" s="215">
        <f t="shared" si="0"/>
        <v>1191.05</v>
      </c>
      <c r="H12" s="215">
        <f t="shared" si="5"/>
        <v>1261.5999999999999</v>
      </c>
      <c r="I12" s="215"/>
      <c r="J12" s="215">
        <f t="shared" si="1"/>
        <v>2452.6499999999996</v>
      </c>
      <c r="K12" s="215">
        <f t="shared" si="2"/>
        <v>39047.35</v>
      </c>
      <c r="L12" s="215">
        <v>0</v>
      </c>
      <c r="M12" s="221">
        <v>13334.69</v>
      </c>
      <c r="N12" s="215">
        <f t="shared" si="3"/>
        <v>15787.34</v>
      </c>
      <c r="O12" s="221">
        <f t="shared" si="4"/>
        <v>25712.66</v>
      </c>
    </row>
    <row r="13" spans="1:49" s="219" customFormat="1" ht="35.1" customHeight="1" x14ac:dyDescent="0.2">
      <c r="A13" s="213">
        <f t="shared" ref="A13:A16" si="6">+A12+1</f>
        <v>6</v>
      </c>
      <c r="B13" s="214" t="s">
        <v>441</v>
      </c>
      <c r="C13" s="213" t="s">
        <v>336</v>
      </c>
      <c r="D13" s="220" t="s">
        <v>66</v>
      </c>
      <c r="E13" s="72" t="s">
        <v>96</v>
      </c>
      <c r="F13" s="215">
        <v>41500</v>
      </c>
      <c r="G13" s="215">
        <f t="shared" si="0"/>
        <v>1191.05</v>
      </c>
      <c r="H13" s="215">
        <f t="shared" si="5"/>
        <v>1261.5999999999999</v>
      </c>
      <c r="I13" s="215"/>
      <c r="J13" s="215">
        <f t="shared" si="1"/>
        <v>2452.6499999999996</v>
      </c>
      <c r="K13" s="215">
        <f t="shared" si="2"/>
        <v>39047.35</v>
      </c>
      <c r="L13" s="215">
        <v>0</v>
      </c>
      <c r="M13" s="221">
        <v>3290.29</v>
      </c>
      <c r="N13" s="215">
        <f t="shared" si="3"/>
        <v>5742.94</v>
      </c>
      <c r="O13" s="221">
        <f t="shared" si="4"/>
        <v>35757.06</v>
      </c>
    </row>
    <row r="14" spans="1:49" s="219" customFormat="1" ht="35.1" customHeight="1" x14ac:dyDescent="0.2">
      <c r="A14" s="213">
        <f t="shared" si="6"/>
        <v>7</v>
      </c>
      <c r="B14" s="214" t="s">
        <v>177</v>
      </c>
      <c r="C14" s="213" t="s">
        <v>336</v>
      </c>
      <c r="D14" s="220" t="s">
        <v>66</v>
      </c>
      <c r="E14" s="72" t="s">
        <v>96</v>
      </c>
      <c r="F14" s="215">
        <v>38000</v>
      </c>
      <c r="G14" s="215">
        <f t="shared" si="0"/>
        <v>1090.5999999999999</v>
      </c>
      <c r="H14" s="215">
        <f t="shared" si="5"/>
        <v>1155.2</v>
      </c>
      <c r="I14" s="215"/>
      <c r="J14" s="215">
        <f t="shared" si="1"/>
        <v>2245.8000000000002</v>
      </c>
      <c r="K14" s="215">
        <f t="shared" si="2"/>
        <v>35754.199999999997</v>
      </c>
      <c r="L14" s="215">
        <v>0</v>
      </c>
      <c r="M14" s="221">
        <v>11036.03</v>
      </c>
      <c r="N14" s="215">
        <f t="shared" si="3"/>
        <v>13281.830000000002</v>
      </c>
      <c r="O14" s="221">
        <f t="shared" si="4"/>
        <v>24718.17</v>
      </c>
    </row>
    <row r="15" spans="1:49" s="219" customFormat="1" ht="35.1" customHeight="1" x14ac:dyDescent="0.2">
      <c r="A15" s="213">
        <f t="shared" si="6"/>
        <v>8</v>
      </c>
      <c r="B15" s="214" t="s">
        <v>603</v>
      </c>
      <c r="C15" s="213" t="s">
        <v>336</v>
      </c>
      <c r="D15" s="220" t="s">
        <v>66</v>
      </c>
      <c r="E15" s="72" t="s">
        <v>96</v>
      </c>
      <c r="F15" s="215">
        <v>38000</v>
      </c>
      <c r="G15" s="215">
        <f t="shared" si="0"/>
        <v>1090.5999999999999</v>
      </c>
      <c r="H15" s="215">
        <f t="shared" si="5"/>
        <v>1155.2</v>
      </c>
      <c r="I15" s="215"/>
      <c r="J15" s="215">
        <f t="shared" si="1"/>
        <v>2245.8000000000002</v>
      </c>
      <c r="K15" s="215">
        <f t="shared" si="2"/>
        <v>35754.199999999997</v>
      </c>
      <c r="L15" s="215">
        <v>0</v>
      </c>
      <c r="M15" s="221">
        <v>1290.29</v>
      </c>
      <c r="N15" s="215">
        <f t="shared" si="3"/>
        <v>3536.0899999999997</v>
      </c>
      <c r="O15" s="221">
        <f t="shared" si="4"/>
        <v>34463.910000000003</v>
      </c>
    </row>
    <row r="16" spans="1:49" s="219" customFormat="1" ht="35.1" customHeight="1" x14ac:dyDescent="0.2">
      <c r="A16" s="213">
        <f t="shared" si="6"/>
        <v>9</v>
      </c>
      <c r="B16" s="214" t="s">
        <v>604</v>
      </c>
      <c r="C16" s="213" t="s">
        <v>336</v>
      </c>
      <c r="D16" s="220" t="s">
        <v>66</v>
      </c>
      <c r="E16" s="72" t="s">
        <v>96</v>
      </c>
      <c r="F16" s="215">
        <v>38000</v>
      </c>
      <c r="G16" s="215">
        <f t="shared" si="0"/>
        <v>1090.5999999999999</v>
      </c>
      <c r="H16" s="215">
        <f t="shared" si="5"/>
        <v>1155.2</v>
      </c>
      <c r="I16" s="215"/>
      <c r="J16" s="215">
        <f t="shared" si="1"/>
        <v>2245.8000000000002</v>
      </c>
      <c r="K16" s="215">
        <f t="shared" si="2"/>
        <v>35754.199999999997</v>
      </c>
      <c r="L16" s="215">
        <v>0</v>
      </c>
      <c r="M16" s="221">
        <v>9284.3700000000008</v>
      </c>
      <c r="N16" s="215">
        <f t="shared" si="3"/>
        <v>11530.170000000002</v>
      </c>
      <c r="O16" s="221">
        <f t="shared" si="4"/>
        <v>26469.829999999998</v>
      </c>
    </row>
    <row r="17" spans="1:16" s="219" customFormat="1" ht="35.1" customHeight="1" x14ac:dyDescent="0.2">
      <c r="A17" s="223" t="s">
        <v>99</v>
      </c>
      <c r="B17" s="224"/>
      <c r="C17" s="224"/>
      <c r="D17" s="224"/>
      <c r="E17" s="224"/>
      <c r="F17" s="225">
        <f t="shared" ref="F17:O17" si="7">SUM(F8:F16)</f>
        <v>673500</v>
      </c>
      <c r="G17" s="225">
        <f t="shared" si="7"/>
        <v>19329.449999999993</v>
      </c>
      <c r="H17" s="225">
        <f t="shared" si="7"/>
        <v>20086.192000000003</v>
      </c>
      <c r="I17" s="225">
        <f t="shared" si="7"/>
        <v>3839.56</v>
      </c>
      <c r="J17" s="225">
        <f t="shared" si="7"/>
        <v>43255.202000000012</v>
      </c>
      <c r="K17" s="225">
        <f t="shared" si="7"/>
        <v>630244.79799999984</v>
      </c>
      <c r="L17" s="225">
        <f t="shared" si="7"/>
        <v>66864.65929166667</v>
      </c>
      <c r="M17" s="225">
        <f t="shared" si="7"/>
        <v>44062.570000000007</v>
      </c>
      <c r="N17" s="225">
        <f t="shared" si="7"/>
        <v>154182.4312916667</v>
      </c>
      <c r="O17" s="225">
        <f t="shared" si="7"/>
        <v>519317.56870833336</v>
      </c>
    </row>
    <row r="18" spans="1:16" s="219" customFormat="1" ht="35.1" customHeight="1" thickBot="1" x14ac:dyDescent="0.25">
      <c r="A18" s="227"/>
      <c r="B18" s="147"/>
      <c r="C18" s="203"/>
      <c r="D18" s="228"/>
      <c r="E18" s="228"/>
      <c r="F18" s="148"/>
      <c r="G18" s="148"/>
      <c r="H18" s="148"/>
      <c r="I18" s="148"/>
      <c r="J18" s="148"/>
      <c r="K18" s="148"/>
      <c r="L18" s="148"/>
      <c r="M18" s="148"/>
      <c r="N18" s="148"/>
      <c r="O18" s="148"/>
    </row>
    <row r="19" spans="1:16" s="219" customFormat="1" ht="35.1" customHeight="1" thickBot="1" x14ac:dyDescent="0.25">
      <c r="A19" s="229" t="s">
        <v>122</v>
      </c>
      <c r="B19" s="230"/>
      <c r="C19" s="230"/>
      <c r="D19" s="230"/>
      <c r="E19" s="230"/>
      <c r="F19" s="230"/>
      <c r="G19" s="230"/>
      <c r="H19" s="230"/>
      <c r="I19" s="230"/>
      <c r="J19" s="230"/>
      <c r="K19" s="230"/>
      <c r="L19" s="230"/>
      <c r="M19" s="230"/>
      <c r="N19" s="230"/>
      <c r="O19" s="231"/>
    </row>
    <row r="20" spans="1:16" s="226" customFormat="1" ht="35.1" customHeight="1" x14ac:dyDescent="0.2">
      <c r="A20" s="73">
        <f>+A16+1</f>
        <v>10</v>
      </c>
      <c r="B20" s="214" t="s">
        <v>152</v>
      </c>
      <c r="C20" s="213" t="s">
        <v>336</v>
      </c>
      <c r="D20" s="220" t="s">
        <v>83</v>
      </c>
      <c r="E20" s="72" t="s">
        <v>97</v>
      </c>
      <c r="F20" s="215">
        <v>230000</v>
      </c>
      <c r="G20" s="215">
        <f>F20*2.87%</f>
        <v>6601</v>
      </c>
      <c r="H20" s="215">
        <v>6992</v>
      </c>
      <c r="I20" s="69">
        <v>1919.78</v>
      </c>
      <c r="J20" s="69">
        <f>+G20+H20+I20</f>
        <v>15512.78</v>
      </c>
      <c r="K20" s="69">
        <f>+F20-J20</f>
        <v>214487.22</v>
      </c>
      <c r="L20" s="69">
        <f>+IF(K20*12&lt;=416220.01,0,IF(K20*12&lt;=624329.01,(((K20*12-416220.01)*0.15)/12),IF((K20*12&lt;=867123.01),(31216+0.2*(K20*12-624329.01))/12,((79776+0.25*(K20*12-867123.01))/12))))</f>
        <v>42204.742291666669</v>
      </c>
      <c r="M20" s="221">
        <v>25</v>
      </c>
      <c r="N20" s="215">
        <f>+M20+I20+H20+G20+L20</f>
        <v>57742.522291666668</v>
      </c>
      <c r="O20" s="217">
        <f>+F20-N20</f>
        <v>172257.47770833335</v>
      </c>
      <c r="P20" s="242"/>
    </row>
    <row r="21" spans="1:16" s="206" customFormat="1" ht="35.1" customHeight="1" x14ac:dyDescent="0.2">
      <c r="A21" s="73">
        <f>+A20+1</f>
        <v>11</v>
      </c>
      <c r="B21" s="72" t="s">
        <v>36</v>
      </c>
      <c r="C21" s="73" t="s">
        <v>336</v>
      </c>
      <c r="D21" s="233" t="s">
        <v>563</v>
      </c>
      <c r="E21" s="72" t="s">
        <v>97</v>
      </c>
      <c r="F21" s="216">
        <v>120000</v>
      </c>
      <c r="G21" s="216">
        <f>F21*2.87%</f>
        <v>3444</v>
      </c>
      <c r="H21" s="68">
        <f>+F21*3.04%</f>
        <v>3648</v>
      </c>
      <c r="I21" s="68"/>
      <c r="J21" s="69">
        <f>+G21+H21+I21</f>
        <v>7092</v>
      </c>
      <c r="K21" s="69">
        <f>+F21-J21</f>
        <v>112908</v>
      </c>
      <c r="L21" s="69">
        <f t="shared" ref="L21:L23" si="8">+IF(K21*12&lt;=416220.01,0,IF(K21*12&lt;=624329.01,(((K21*12-416220.01)*0.15)/12),IF((K21*12&lt;=867123.01),(31216+0.2*(K21*12-624329.01))/12,((79776+0.25*(K21*12-867123.01))/12))))</f>
        <v>16809.937291666665</v>
      </c>
      <c r="M21" s="221">
        <v>2290.29</v>
      </c>
      <c r="N21" s="215">
        <f>+M21+I21+H21+G21+L21</f>
        <v>26192.227291666666</v>
      </c>
      <c r="O21" s="84">
        <f>+F21-N21</f>
        <v>93807.77270833333</v>
      </c>
    </row>
    <row r="22" spans="1:16" s="232" customFormat="1" ht="35.1" customHeight="1" x14ac:dyDescent="0.2">
      <c r="A22" s="73">
        <f>+A21+1</f>
        <v>12</v>
      </c>
      <c r="B22" s="72" t="s">
        <v>51</v>
      </c>
      <c r="C22" s="73" t="s">
        <v>336</v>
      </c>
      <c r="D22" s="233" t="s">
        <v>563</v>
      </c>
      <c r="E22" s="72" t="s">
        <v>96</v>
      </c>
      <c r="F22" s="216">
        <v>110000</v>
      </c>
      <c r="G22" s="216">
        <f>F22*2.87%</f>
        <v>3157</v>
      </c>
      <c r="H22" s="216">
        <f>+F22*3.04%</f>
        <v>3344</v>
      </c>
      <c r="I22" s="216"/>
      <c r="J22" s="69">
        <f>+G22+H22+I22</f>
        <v>6501</v>
      </c>
      <c r="K22" s="69">
        <f>+F22-J22</f>
        <v>103499</v>
      </c>
      <c r="L22" s="69">
        <v>14457.69</v>
      </c>
      <c r="M22" s="221">
        <v>1330.29</v>
      </c>
      <c r="N22" s="215">
        <f>+M22+I22+H22+G22+L22</f>
        <v>22288.98</v>
      </c>
      <c r="O22" s="217">
        <f>+F22-N22</f>
        <v>87711.02</v>
      </c>
      <c r="P22" s="205"/>
    </row>
    <row r="23" spans="1:16" s="148" customFormat="1" ht="35.1" customHeight="1" x14ac:dyDescent="0.2">
      <c r="A23" s="213">
        <f>+A22+1</f>
        <v>13</v>
      </c>
      <c r="B23" s="214" t="s">
        <v>403</v>
      </c>
      <c r="C23" s="213" t="s">
        <v>336</v>
      </c>
      <c r="D23" s="233" t="s">
        <v>580</v>
      </c>
      <c r="E23" s="72" t="s">
        <v>97</v>
      </c>
      <c r="F23" s="215">
        <v>90000</v>
      </c>
      <c r="G23" s="215">
        <f>F23*2.87%</f>
        <v>2583</v>
      </c>
      <c r="H23" s="215">
        <f>F23*3.04%</f>
        <v>2736</v>
      </c>
      <c r="I23" s="69">
        <v>0</v>
      </c>
      <c r="J23" s="69">
        <f>+G23+H23+I23</f>
        <v>5319</v>
      </c>
      <c r="K23" s="69">
        <f>+F23-J23</f>
        <v>84681</v>
      </c>
      <c r="L23" s="69">
        <f t="shared" si="8"/>
        <v>9753.1872916666671</v>
      </c>
      <c r="M23" s="221">
        <v>2845.5</v>
      </c>
      <c r="N23" s="215">
        <f>+M23+I23+H23+G23+L23</f>
        <v>17917.687291666669</v>
      </c>
      <c r="O23" s="217">
        <f>+F23-N23</f>
        <v>72082.312708333338</v>
      </c>
      <c r="P23" s="219"/>
    </row>
    <row r="24" spans="1:16" s="226" customFormat="1" ht="35.1" customHeight="1" x14ac:dyDescent="0.2">
      <c r="A24" s="223" t="s">
        <v>99</v>
      </c>
      <c r="B24" s="224"/>
      <c r="C24" s="224"/>
      <c r="D24" s="224"/>
      <c r="E24" s="224"/>
      <c r="F24" s="225">
        <f t="shared" ref="F24:O24" si="9">SUM(F20:F23)</f>
        <v>550000</v>
      </c>
      <c r="G24" s="225">
        <f t="shared" si="9"/>
        <v>15785</v>
      </c>
      <c r="H24" s="225">
        <f t="shared" si="9"/>
        <v>16720</v>
      </c>
      <c r="I24" s="225">
        <f t="shared" si="9"/>
        <v>1919.78</v>
      </c>
      <c r="J24" s="225">
        <f t="shared" si="9"/>
        <v>34424.78</v>
      </c>
      <c r="K24" s="225">
        <f t="shared" si="9"/>
        <v>515575.22</v>
      </c>
      <c r="L24" s="225">
        <f t="shared" si="9"/>
        <v>83225.556874999995</v>
      </c>
      <c r="M24" s="225">
        <f t="shared" si="9"/>
        <v>6491.08</v>
      </c>
      <c r="N24" s="225">
        <f t="shared" si="9"/>
        <v>124141.416875</v>
      </c>
      <c r="O24" s="225">
        <f t="shared" si="9"/>
        <v>425858.583125</v>
      </c>
      <c r="P24" s="242"/>
    </row>
    <row r="25" spans="1:16" s="206" customFormat="1" ht="35.1" customHeight="1" thickBot="1" x14ac:dyDescent="0.25">
      <c r="A25" s="227"/>
      <c r="B25" s="147"/>
      <c r="C25" s="203"/>
      <c r="D25" s="228"/>
      <c r="E25" s="228"/>
      <c r="F25" s="148"/>
      <c r="G25" s="148"/>
      <c r="H25" s="148"/>
      <c r="I25" s="148"/>
      <c r="J25" s="148"/>
      <c r="K25" s="148"/>
      <c r="L25" s="148"/>
      <c r="M25" s="148"/>
      <c r="N25" s="148"/>
      <c r="O25" s="148"/>
    </row>
    <row r="26" spans="1:16" s="205" customFormat="1" ht="35.1" customHeight="1" thickBot="1" x14ac:dyDescent="0.25">
      <c r="A26" s="229" t="s">
        <v>148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</row>
    <row r="27" spans="1:16" s="226" customFormat="1" ht="35.1" customHeight="1" x14ac:dyDescent="0.2">
      <c r="A27" s="73">
        <f>+A23+1</f>
        <v>14</v>
      </c>
      <c r="B27" s="72" t="s">
        <v>112</v>
      </c>
      <c r="C27" s="73" t="s">
        <v>336</v>
      </c>
      <c r="D27" s="233" t="s">
        <v>362</v>
      </c>
      <c r="E27" s="72" t="s">
        <v>96</v>
      </c>
      <c r="F27" s="216">
        <v>170500</v>
      </c>
      <c r="G27" s="216">
        <f>F27*2.87%</f>
        <v>4893.3500000000004</v>
      </c>
      <c r="H27" s="215">
        <f>+F27*3.04%</f>
        <v>5183.2</v>
      </c>
      <c r="I27" s="215"/>
      <c r="J27" s="69">
        <f>+G27+H27+I27</f>
        <v>10076.549999999999</v>
      </c>
      <c r="K27" s="69">
        <f>+F27-J27</f>
        <v>160423.45000000001</v>
      </c>
      <c r="L27" s="69">
        <f>+IF(K27*12&lt;=416220.01,0,IF(K27*12&lt;=624329.01,(((K27*12-416220.01)*0.15)/12),IF((K27*12&lt;=867123.01),(31216+0.2*(K27*12-624329.01))/12,((79776+0.25*(K27*12-867123.01))/12))))</f>
        <v>28688.799791666668</v>
      </c>
      <c r="M27" s="221">
        <v>15594.92</v>
      </c>
      <c r="N27" s="215">
        <f>+M27+I27+H27+G27+L27</f>
        <v>54360.269791666666</v>
      </c>
      <c r="O27" s="217">
        <f>+F27-N27</f>
        <v>116139.73020833333</v>
      </c>
      <c r="P27" s="242"/>
    </row>
    <row r="28" spans="1:16" s="226" customFormat="1" ht="35.1" customHeight="1" x14ac:dyDescent="0.2">
      <c r="A28" s="223" t="s">
        <v>99</v>
      </c>
      <c r="B28" s="224"/>
      <c r="C28" s="224"/>
      <c r="D28" s="224"/>
      <c r="E28" s="224"/>
      <c r="F28" s="225">
        <f t="shared" ref="F28:L28" si="10">SUM(F27)</f>
        <v>170500</v>
      </c>
      <c r="G28" s="225">
        <f t="shared" si="10"/>
        <v>4893.3500000000004</v>
      </c>
      <c r="H28" s="225">
        <f t="shared" si="10"/>
        <v>5183.2</v>
      </c>
      <c r="I28" s="225">
        <f t="shared" si="10"/>
        <v>0</v>
      </c>
      <c r="J28" s="225">
        <f t="shared" si="10"/>
        <v>10076.549999999999</v>
      </c>
      <c r="K28" s="225">
        <f t="shared" si="10"/>
        <v>160423.45000000001</v>
      </c>
      <c r="L28" s="225">
        <f t="shared" si="10"/>
        <v>28688.799791666668</v>
      </c>
      <c r="M28" s="225">
        <f>SUM(M27)</f>
        <v>15594.92</v>
      </c>
      <c r="N28" s="225">
        <f>SUM(N27)</f>
        <v>54360.269791666666</v>
      </c>
      <c r="O28" s="225">
        <f>SUM(O27)</f>
        <v>116139.73020833333</v>
      </c>
      <c r="P28" s="242"/>
    </row>
    <row r="29" spans="1:16" s="206" customFormat="1" ht="35.1" customHeight="1" thickBot="1" x14ac:dyDescent="0.25">
      <c r="A29" s="227"/>
      <c r="B29" s="147"/>
      <c r="C29" s="203"/>
      <c r="D29" s="228"/>
      <c r="E29" s="228"/>
      <c r="F29" s="148"/>
      <c r="G29" s="148"/>
      <c r="H29" s="148"/>
      <c r="I29" s="148"/>
      <c r="J29" s="148"/>
      <c r="K29" s="148"/>
      <c r="L29" s="148"/>
      <c r="M29" s="148"/>
      <c r="N29" s="148"/>
      <c r="O29" s="148"/>
    </row>
    <row r="30" spans="1:16" s="232" customFormat="1" ht="35.1" customHeight="1" thickBot="1" x14ac:dyDescent="0.25">
      <c r="A30" s="229" t="s">
        <v>123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05"/>
    </row>
    <row r="31" spans="1:16" s="148" customFormat="1" ht="35.1" customHeight="1" x14ac:dyDescent="0.2">
      <c r="A31" s="73">
        <f>+A27+1</f>
        <v>15</v>
      </c>
      <c r="B31" s="72" t="s">
        <v>32</v>
      </c>
      <c r="C31" s="73" t="s">
        <v>336</v>
      </c>
      <c r="D31" s="233" t="s">
        <v>580</v>
      </c>
      <c r="E31" s="72" t="s">
        <v>97</v>
      </c>
      <c r="F31" s="216">
        <v>102000</v>
      </c>
      <c r="G31" s="68">
        <v>2927.4</v>
      </c>
      <c r="H31" s="68">
        <v>3100.8</v>
      </c>
      <c r="I31" s="68"/>
      <c r="J31" s="69">
        <v>6028.2000000000007</v>
      </c>
      <c r="K31" s="69">
        <v>95971.8</v>
      </c>
      <c r="L31" s="69">
        <f>+IF(K31*12&lt;=416220.01,0,IF(K31*12&lt;=624329.01,(((K31*12-416220.01)*0.15)/12),IF((K31*12&lt;=867123.01),(31216+0.2*(K31*12-624329.01))/12,((79776+0.25*(K31*12-867123.01))/12))))</f>
        <v>12575.887291666668</v>
      </c>
      <c r="M31" s="234">
        <v>4725</v>
      </c>
      <c r="N31" s="215">
        <f>+M31+I31+H31+G31+L31</f>
        <v>23329.08729166667</v>
      </c>
      <c r="O31" s="84">
        <f>+F31-N31</f>
        <v>78670.91270833333</v>
      </c>
      <c r="P31" s="219"/>
    </row>
    <row r="32" spans="1:16" s="236" customFormat="1" ht="35.1" customHeight="1" x14ac:dyDescent="0.2">
      <c r="A32" s="223" t="s">
        <v>99</v>
      </c>
      <c r="B32" s="224"/>
      <c r="C32" s="224"/>
      <c r="D32" s="224"/>
      <c r="E32" s="239"/>
      <c r="F32" s="225">
        <f t="shared" ref="F32:O32" si="11">+F31</f>
        <v>102000</v>
      </c>
      <c r="G32" s="225">
        <f t="shared" si="11"/>
        <v>2927.4</v>
      </c>
      <c r="H32" s="225">
        <f t="shared" si="11"/>
        <v>3100.8</v>
      </c>
      <c r="I32" s="225">
        <f t="shared" si="11"/>
        <v>0</v>
      </c>
      <c r="J32" s="225">
        <f t="shared" si="11"/>
        <v>6028.2000000000007</v>
      </c>
      <c r="K32" s="225">
        <f t="shared" si="11"/>
        <v>95971.8</v>
      </c>
      <c r="L32" s="225">
        <f t="shared" si="11"/>
        <v>12575.887291666668</v>
      </c>
      <c r="M32" s="225">
        <f t="shared" si="11"/>
        <v>4725</v>
      </c>
      <c r="N32" s="225">
        <f t="shared" si="11"/>
        <v>23329.08729166667</v>
      </c>
      <c r="O32" s="225">
        <f t="shared" si="11"/>
        <v>78670.91270833333</v>
      </c>
      <c r="P32" s="206"/>
    </row>
    <row r="33" spans="1:16" s="148" customFormat="1" ht="35.1" customHeight="1" thickBot="1" x14ac:dyDescent="0.25">
      <c r="A33" s="146"/>
      <c r="B33" s="146"/>
      <c r="C33" s="146"/>
      <c r="D33" s="146"/>
      <c r="E33" s="146"/>
      <c r="F33" s="226"/>
      <c r="G33" s="226"/>
      <c r="H33" s="226"/>
      <c r="I33" s="98"/>
      <c r="J33" s="98"/>
      <c r="K33" s="98"/>
      <c r="L33" s="98"/>
      <c r="M33" s="98"/>
      <c r="N33" s="98"/>
      <c r="O33" s="98"/>
      <c r="P33" s="219"/>
    </row>
    <row r="34" spans="1:16" s="148" customFormat="1" ht="35.1" customHeight="1" thickBot="1" x14ac:dyDescent="0.25">
      <c r="A34" s="229" t="s">
        <v>124</v>
      </c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19"/>
    </row>
    <row r="35" spans="1:16" s="149" customFormat="1" ht="46.5" customHeight="1" x14ac:dyDescent="0.2">
      <c r="A35" s="213">
        <f>+A31+1</f>
        <v>16</v>
      </c>
      <c r="B35" s="214" t="s">
        <v>37</v>
      </c>
      <c r="C35" s="213" t="s">
        <v>336</v>
      </c>
      <c r="D35" s="220" t="s">
        <v>580</v>
      </c>
      <c r="E35" s="72" t="s">
        <v>97</v>
      </c>
      <c r="F35" s="215">
        <v>110000</v>
      </c>
      <c r="G35" s="216">
        <f>F35*2.87%</f>
        <v>3157</v>
      </c>
      <c r="H35" s="216">
        <f>+F35*3.04%</f>
        <v>3344</v>
      </c>
      <c r="I35" s="216">
        <v>0</v>
      </c>
      <c r="J35" s="215">
        <f>+G35+H35+I35</f>
        <v>6501</v>
      </c>
      <c r="K35" s="215">
        <f>+F35-J35</f>
        <v>103499</v>
      </c>
      <c r="L35" s="69">
        <v>14457.69</v>
      </c>
      <c r="M35" s="221">
        <v>1330.29</v>
      </c>
      <c r="N35" s="215">
        <f>+M35+I35+H35+G35+L35</f>
        <v>22288.98</v>
      </c>
      <c r="O35" s="217">
        <f>+F35-N35</f>
        <v>87711.02</v>
      </c>
      <c r="P35" s="218"/>
    </row>
    <row r="36" spans="1:16" s="148" customFormat="1" ht="35.1" customHeight="1" x14ac:dyDescent="0.2">
      <c r="A36" s="213">
        <f>+A35+1</f>
        <v>17</v>
      </c>
      <c r="B36" s="214" t="s">
        <v>201</v>
      </c>
      <c r="C36" s="213" t="s">
        <v>336</v>
      </c>
      <c r="D36" s="220" t="s">
        <v>580</v>
      </c>
      <c r="E36" s="72" t="s">
        <v>96</v>
      </c>
      <c r="F36" s="215">
        <v>95000</v>
      </c>
      <c r="G36" s="216">
        <f>F36*2.87%</f>
        <v>2726.5</v>
      </c>
      <c r="H36" s="216">
        <f>+F36*3.04%</f>
        <v>2888</v>
      </c>
      <c r="I36" s="216"/>
      <c r="J36" s="215">
        <f>+G36+H36+I36</f>
        <v>5614.5</v>
      </c>
      <c r="K36" s="215">
        <f>+F36-J36</f>
        <v>89385.5</v>
      </c>
      <c r="L36" s="69">
        <f>+IF(K36*12&lt;=416220.01,0,IF(K36*12&lt;=624329.01,(((K36*12-416220.01)*0.15)/12),IF((K36*12&lt;=867123.01),(31216+0.2*(K36*12-624329.01))/12,((79776+0.25*(K36*12-867123.01))/12))))</f>
        <v>10929.312291666667</v>
      </c>
      <c r="M36" s="221">
        <v>225</v>
      </c>
      <c r="N36" s="215">
        <f>+M36+I36+H36+G36+L36</f>
        <v>16768.812291666669</v>
      </c>
      <c r="O36" s="217">
        <f>+F36-N36</f>
        <v>78231.187708333338</v>
      </c>
      <c r="P36" s="219"/>
    </row>
    <row r="37" spans="1:16" s="236" customFormat="1" ht="35.1" customHeight="1" x14ac:dyDescent="0.2">
      <c r="A37" s="213">
        <f>+A36+1</f>
        <v>18</v>
      </c>
      <c r="B37" s="214" t="s">
        <v>361</v>
      </c>
      <c r="C37" s="213" t="s">
        <v>335</v>
      </c>
      <c r="D37" s="220" t="s">
        <v>574</v>
      </c>
      <c r="E37" s="72" t="s">
        <v>97</v>
      </c>
      <c r="F37" s="215">
        <v>85000</v>
      </c>
      <c r="G37" s="216">
        <f>F37*2.87%</f>
        <v>2439.5</v>
      </c>
      <c r="H37" s="216">
        <f>+F37*3.04%</f>
        <v>2584</v>
      </c>
      <c r="I37" s="216"/>
      <c r="J37" s="215">
        <f>+G37+H37+I37</f>
        <v>5023.5</v>
      </c>
      <c r="K37" s="215">
        <f>+F37-J37</f>
        <v>79976.5</v>
      </c>
      <c r="L37" s="69">
        <f>+IF(K37*12&lt;=416220.01,0,IF(K37*12&lt;=624329.01,(((K37*12-416220.01)*0.15)/12),IF((K37*12&lt;=867123.01),(31216+0.2*(K37*12-624329.01))/12,((79776+0.25*(K37*12-867123.01))/12))))</f>
        <v>8577.0622916666671</v>
      </c>
      <c r="M37" s="221">
        <v>11511.38</v>
      </c>
      <c r="N37" s="215">
        <f>+M37+I37+H37+G37+L37</f>
        <v>25111.942291666666</v>
      </c>
      <c r="O37" s="217">
        <f>F37-N37</f>
        <v>59888.057708333334</v>
      </c>
      <c r="P37" s="206"/>
    </row>
    <row r="38" spans="1:16" s="236" customFormat="1" ht="35.1" customHeight="1" x14ac:dyDescent="0.2">
      <c r="A38" s="213">
        <f>+A37+1</f>
        <v>19</v>
      </c>
      <c r="B38" s="214" t="s">
        <v>600</v>
      </c>
      <c r="C38" s="213" t="s">
        <v>336</v>
      </c>
      <c r="D38" s="220" t="s">
        <v>574</v>
      </c>
      <c r="E38" s="72" t="s">
        <v>97</v>
      </c>
      <c r="F38" s="215">
        <v>80000</v>
      </c>
      <c r="G38" s="216">
        <f>F38*2.87%</f>
        <v>2296</v>
      </c>
      <c r="H38" s="216">
        <f>+F38*3.04%</f>
        <v>2432</v>
      </c>
      <c r="I38" s="216"/>
      <c r="J38" s="215">
        <f>+G38+H38+I38</f>
        <v>4728</v>
      </c>
      <c r="K38" s="215">
        <f>+F38-J38</f>
        <v>75272</v>
      </c>
      <c r="L38" s="69">
        <v>0</v>
      </c>
      <c r="M38" s="221">
        <v>1290.29</v>
      </c>
      <c r="N38" s="215">
        <f>+M38+I38+H38+G38+L38</f>
        <v>6018.29</v>
      </c>
      <c r="O38" s="217">
        <f>F38-N38</f>
        <v>73981.710000000006</v>
      </c>
      <c r="P38" s="206"/>
    </row>
    <row r="39" spans="1:16" s="240" customFormat="1" ht="35.1" customHeight="1" thickBot="1" x14ac:dyDescent="0.25">
      <c r="A39" s="223" t="s">
        <v>99</v>
      </c>
      <c r="B39" s="224"/>
      <c r="C39" s="224"/>
      <c r="D39" s="224"/>
      <c r="E39" s="239"/>
      <c r="F39" s="225">
        <f>SUM(F35:F38)</f>
        <v>370000</v>
      </c>
      <c r="G39" s="225">
        <f t="shared" ref="G39:O39" si="12">SUM(G35:G38)</f>
        <v>10619</v>
      </c>
      <c r="H39" s="225">
        <f t="shared" si="12"/>
        <v>11248</v>
      </c>
      <c r="I39" s="225">
        <f t="shared" si="12"/>
        <v>0</v>
      </c>
      <c r="J39" s="225">
        <f t="shared" si="12"/>
        <v>21867</v>
      </c>
      <c r="K39" s="225">
        <f t="shared" si="12"/>
        <v>348133</v>
      </c>
      <c r="L39" s="225">
        <f t="shared" si="12"/>
        <v>33964.064583333333</v>
      </c>
      <c r="M39" s="225">
        <f t="shared" si="12"/>
        <v>14356.96</v>
      </c>
      <c r="N39" s="225">
        <f t="shared" si="12"/>
        <v>70188.024583333332</v>
      </c>
      <c r="O39" s="225">
        <f t="shared" si="12"/>
        <v>299811.97541666665</v>
      </c>
      <c r="P39" s="252"/>
    </row>
    <row r="40" spans="1:16" s="240" customFormat="1" ht="35.1" customHeight="1" thickBot="1" x14ac:dyDescent="0.25">
      <c r="A40" s="229" t="s">
        <v>125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52"/>
    </row>
    <row r="41" spans="1:16" s="148" customFormat="1" ht="49.5" customHeight="1" x14ac:dyDescent="0.2">
      <c r="A41" s="213">
        <f>+A38+1</f>
        <v>20</v>
      </c>
      <c r="B41" s="214" t="s">
        <v>217</v>
      </c>
      <c r="C41" s="213" t="s">
        <v>336</v>
      </c>
      <c r="D41" s="222" t="s">
        <v>562</v>
      </c>
      <c r="E41" s="72" t="s">
        <v>96</v>
      </c>
      <c r="F41" s="215">
        <v>155000</v>
      </c>
      <c r="G41" s="216">
        <v>4448.5</v>
      </c>
      <c r="H41" s="216">
        <v>4712</v>
      </c>
      <c r="I41" s="216"/>
      <c r="J41" s="215">
        <v>9160.5</v>
      </c>
      <c r="K41" s="215">
        <v>145839.5</v>
      </c>
      <c r="L41" s="69">
        <f>+IF(K41*12&lt;=416220.01,0,IF(K41*12&lt;=624329.01,(((K41*12-416220.01)*0.15)/12),IF((K41*12&lt;=867123.01),(31216+0.2*(K41*12-624329.01))/12,((79776+0.25*(K41*12-867123.01))/12))))</f>
        <v>25042.812291666665</v>
      </c>
      <c r="M41" s="221">
        <v>1290.29</v>
      </c>
      <c r="N41" s="215">
        <f>+M41+I41+H41+G41+L41</f>
        <v>35493.60229166667</v>
      </c>
      <c r="O41" s="217">
        <f>+F41-N41</f>
        <v>119506.39770833333</v>
      </c>
      <c r="P41" s="219"/>
    </row>
    <row r="42" spans="1:16" s="149" customFormat="1" ht="49.5" customHeight="1" x14ac:dyDescent="0.2">
      <c r="A42" s="213">
        <f>+A41+1</f>
        <v>21</v>
      </c>
      <c r="B42" s="214" t="s">
        <v>203</v>
      </c>
      <c r="C42" s="213" t="s">
        <v>336</v>
      </c>
      <c r="D42" s="222" t="s">
        <v>580</v>
      </c>
      <c r="E42" s="72" t="s">
        <v>97</v>
      </c>
      <c r="F42" s="215">
        <v>90000</v>
      </c>
      <c r="G42" s="216">
        <f>F42*2.87%</f>
        <v>2583</v>
      </c>
      <c r="H42" s="216">
        <f>+F42*3.04%</f>
        <v>2736</v>
      </c>
      <c r="I42" s="216"/>
      <c r="J42" s="215">
        <f>+G42+H42+I42</f>
        <v>5319</v>
      </c>
      <c r="K42" s="215">
        <f>+F42-J42</f>
        <v>84681</v>
      </c>
      <c r="L42" s="69">
        <f t="shared" ref="L42:L45" si="13">+IF(K42*12&lt;=416220.01,0,IF(K42*12&lt;=624329.01,(((K42*12-416220.01)*0.15)/12),IF((K42*12&lt;=867123.01),(31216+0.2*(K42*12-624329.01))/12,((79776+0.25*(K42*12-867123.01))/12))))</f>
        <v>9753.1872916666671</v>
      </c>
      <c r="M42" s="221">
        <v>17660.23</v>
      </c>
      <c r="N42" s="215">
        <f>+M42+I42+H42+G42+L42</f>
        <v>32732.417291666665</v>
      </c>
      <c r="O42" s="217">
        <f>+F42-N42</f>
        <v>57267.582708333335</v>
      </c>
      <c r="P42" s="218"/>
    </row>
    <row r="43" spans="1:16" s="149" customFormat="1" ht="49.5" customHeight="1" x14ac:dyDescent="0.2">
      <c r="A43" s="213">
        <f>+A42+1</f>
        <v>22</v>
      </c>
      <c r="B43" s="214" t="s">
        <v>52</v>
      </c>
      <c r="C43" s="213" t="s">
        <v>335</v>
      </c>
      <c r="D43" s="222" t="s">
        <v>580</v>
      </c>
      <c r="E43" s="72" t="s">
        <v>96</v>
      </c>
      <c r="F43" s="215">
        <v>85000</v>
      </c>
      <c r="G43" s="216">
        <f>F43*2.87%</f>
        <v>2439.5</v>
      </c>
      <c r="H43" s="216">
        <f>+F43*3.04%</f>
        <v>2584</v>
      </c>
      <c r="I43" s="216">
        <v>1919.78</v>
      </c>
      <c r="J43" s="215">
        <f>+G43+H43+I43</f>
        <v>6943.28</v>
      </c>
      <c r="K43" s="215">
        <f>+F43-J43</f>
        <v>78056.72</v>
      </c>
      <c r="L43" s="69">
        <v>8097.12</v>
      </c>
      <c r="M43" s="221">
        <v>26830.63</v>
      </c>
      <c r="N43" s="215">
        <f>+M43+I43+H43+G43+L43</f>
        <v>41871.030000000006</v>
      </c>
      <c r="O43" s="217">
        <f>+F43-N43</f>
        <v>43128.969999999994</v>
      </c>
      <c r="P43" s="218"/>
    </row>
    <row r="44" spans="1:16" s="149" customFormat="1" ht="49.5" customHeight="1" x14ac:dyDescent="0.2">
      <c r="A44" s="213">
        <f>+A43+1</f>
        <v>23</v>
      </c>
      <c r="B44" s="214" t="s">
        <v>204</v>
      </c>
      <c r="C44" s="213" t="s">
        <v>336</v>
      </c>
      <c r="D44" s="222" t="s">
        <v>580</v>
      </c>
      <c r="E44" s="72" t="s">
        <v>97</v>
      </c>
      <c r="F44" s="215">
        <v>85000</v>
      </c>
      <c r="G44" s="216">
        <f>F44*2.87%</f>
        <v>2439.5</v>
      </c>
      <c r="H44" s="216">
        <f>+F44*3.04%</f>
        <v>2584</v>
      </c>
      <c r="I44" s="216">
        <v>0</v>
      </c>
      <c r="J44" s="215">
        <f>+G44+H44+I44</f>
        <v>5023.5</v>
      </c>
      <c r="K44" s="215">
        <f>+F44-J44</f>
        <v>79976.5</v>
      </c>
      <c r="L44" s="69">
        <f t="shared" si="13"/>
        <v>8577.0622916666671</v>
      </c>
      <c r="M44" s="221">
        <v>16998.05</v>
      </c>
      <c r="N44" s="215">
        <f>+M44+I44+H44+G44+L44</f>
        <v>30598.612291666665</v>
      </c>
      <c r="O44" s="217">
        <f>+F44-N44</f>
        <v>54401.387708333335</v>
      </c>
      <c r="P44" s="218"/>
    </row>
    <row r="45" spans="1:16" s="219" customFormat="1" ht="35.1" customHeight="1" x14ac:dyDescent="0.2">
      <c r="A45" s="213">
        <f>+A44+1</f>
        <v>24</v>
      </c>
      <c r="B45" s="214" t="s">
        <v>41</v>
      </c>
      <c r="C45" s="213" t="s">
        <v>336</v>
      </c>
      <c r="D45" s="222" t="s">
        <v>580</v>
      </c>
      <c r="E45" s="72" t="s">
        <v>96</v>
      </c>
      <c r="F45" s="215">
        <v>85000</v>
      </c>
      <c r="G45" s="216">
        <f>F45*2.87%</f>
        <v>2439.5</v>
      </c>
      <c r="H45" s="216">
        <f>+F45*3.04%</f>
        <v>2584</v>
      </c>
      <c r="I45" s="216"/>
      <c r="J45" s="215">
        <f>+G45+H45+I45</f>
        <v>5023.5</v>
      </c>
      <c r="K45" s="215">
        <f>+F45-J45</f>
        <v>79976.5</v>
      </c>
      <c r="L45" s="69">
        <f t="shared" si="13"/>
        <v>8577.0622916666671</v>
      </c>
      <c r="M45" s="221">
        <v>2370.29</v>
      </c>
      <c r="N45" s="215">
        <f>+M45+I45+H45+G45+L45</f>
        <v>15970.852291666666</v>
      </c>
      <c r="O45" s="217">
        <f>+F45-N45</f>
        <v>69029.14770833333</v>
      </c>
    </row>
    <row r="46" spans="1:16" s="148" customFormat="1" ht="35.1" customHeight="1" x14ac:dyDescent="0.2">
      <c r="A46" s="223" t="s">
        <v>99</v>
      </c>
      <c r="B46" s="224"/>
      <c r="C46" s="224"/>
      <c r="D46" s="224"/>
      <c r="E46" s="239"/>
      <c r="F46" s="225">
        <f t="shared" ref="F46:O46" si="14">SUM(F41:F45)</f>
        <v>500000</v>
      </c>
      <c r="G46" s="225">
        <f t="shared" si="14"/>
        <v>14350</v>
      </c>
      <c r="H46" s="225">
        <f t="shared" si="14"/>
        <v>15200</v>
      </c>
      <c r="I46" s="225">
        <f t="shared" si="14"/>
        <v>1919.78</v>
      </c>
      <c r="J46" s="225">
        <f t="shared" si="14"/>
        <v>31469.78</v>
      </c>
      <c r="K46" s="225">
        <f t="shared" si="14"/>
        <v>468530.22</v>
      </c>
      <c r="L46" s="225">
        <f t="shared" si="14"/>
        <v>60047.244166666671</v>
      </c>
      <c r="M46" s="225">
        <f t="shared" si="14"/>
        <v>65149.49</v>
      </c>
      <c r="N46" s="225">
        <f t="shared" si="14"/>
        <v>156666.51416666666</v>
      </c>
      <c r="O46" s="225">
        <f t="shared" si="14"/>
        <v>343333.48583333334</v>
      </c>
      <c r="P46" s="219"/>
    </row>
    <row r="47" spans="1:16" s="148" customFormat="1" ht="35.1" customHeight="1" thickBot="1" x14ac:dyDescent="0.25">
      <c r="A47" s="218"/>
      <c r="B47" s="218"/>
      <c r="C47" s="243"/>
      <c r="D47" s="218"/>
      <c r="E47" s="218"/>
      <c r="F47" s="218"/>
      <c r="G47" s="218"/>
      <c r="H47" s="218"/>
      <c r="I47" s="218"/>
      <c r="J47" s="218"/>
      <c r="K47" s="218"/>
      <c r="L47" s="218"/>
      <c r="M47" s="218"/>
      <c r="N47" s="218"/>
      <c r="O47" s="218"/>
      <c r="P47" s="219"/>
    </row>
    <row r="48" spans="1:16" s="240" customFormat="1" ht="35.1" customHeight="1" thickBot="1" x14ac:dyDescent="0.25">
      <c r="A48" s="229" t="s">
        <v>363</v>
      </c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52"/>
    </row>
    <row r="49" spans="1:16" s="148" customFormat="1" ht="35.1" customHeight="1" x14ac:dyDescent="0.2">
      <c r="A49" s="237">
        <f>+A45+1</f>
        <v>25</v>
      </c>
      <c r="B49" s="244" t="s">
        <v>40</v>
      </c>
      <c r="C49" s="237" t="s">
        <v>336</v>
      </c>
      <c r="D49" s="245" t="s">
        <v>150</v>
      </c>
      <c r="E49" s="238" t="s">
        <v>97</v>
      </c>
      <c r="F49" s="69">
        <v>126500</v>
      </c>
      <c r="G49" s="69">
        <v>3630.55</v>
      </c>
      <c r="H49" s="69">
        <v>3845.6</v>
      </c>
      <c r="I49" s="68">
        <v>1919.78</v>
      </c>
      <c r="J49" s="69">
        <f>+G49+H49+I49</f>
        <v>9395.93</v>
      </c>
      <c r="K49" s="69">
        <f>+F49-J49</f>
        <v>117104.07</v>
      </c>
      <c r="L49" s="69">
        <f>+IF(K49*12&lt;=416220.01,0,IF(K49*12&lt;=624329.01,(((K49*12-416220.01)*0.15)/12),IF((K49*12&lt;=867123.01),(31216+0.2*(K49*12-624329.01))/12,((79776+0.25*(K49*12-867123.01))/12))))</f>
        <v>17858.954791666667</v>
      </c>
      <c r="M49" s="217">
        <v>225</v>
      </c>
      <c r="N49" s="215">
        <f>+M49+I49+H49+G49+L49</f>
        <v>27479.884791666667</v>
      </c>
      <c r="O49" s="217">
        <f>+F49-N49</f>
        <v>99020.115208333329</v>
      </c>
      <c r="P49" s="219"/>
    </row>
    <row r="50" spans="1:16" s="148" customFormat="1" ht="35.1" customHeight="1" x14ac:dyDescent="0.2">
      <c r="A50" s="223" t="s">
        <v>99</v>
      </c>
      <c r="B50" s="224"/>
      <c r="C50" s="224"/>
      <c r="D50" s="224"/>
      <c r="E50" s="239"/>
      <c r="F50" s="225">
        <f t="shared" ref="F50:L50" si="15">SUM(F49)</f>
        <v>126500</v>
      </c>
      <c r="G50" s="225">
        <f t="shared" si="15"/>
        <v>3630.55</v>
      </c>
      <c r="H50" s="225">
        <f t="shared" si="15"/>
        <v>3845.6</v>
      </c>
      <c r="I50" s="225">
        <f t="shared" si="15"/>
        <v>1919.78</v>
      </c>
      <c r="J50" s="225">
        <f t="shared" si="15"/>
        <v>9395.93</v>
      </c>
      <c r="K50" s="225">
        <f t="shared" si="15"/>
        <v>117104.07</v>
      </c>
      <c r="L50" s="225">
        <f t="shared" si="15"/>
        <v>17858.954791666667</v>
      </c>
      <c r="M50" s="225">
        <f>SUM(M49)</f>
        <v>225</v>
      </c>
      <c r="N50" s="225">
        <f>SUM(N49)</f>
        <v>27479.884791666667</v>
      </c>
      <c r="O50" s="225">
        <f>SUM(O49)</f>
        <v>99020.115208333329</v>
      </c>
      <c r="P50" s="219"/>
    </row>
    <row r="51" spans="1:16" s="242" customFormat="1" ht="35.1" customHeight="1" thickBot="1" x14ac:dyDescent="0.25">
      <c r="A51" s="146"/>
      <c r="B51" s="146"/>
      <c r="C51" s="146"/>
      <c r="D51" s="146"/>
      <c r="E51" s="146"/>
      <c r="F51" s="218"/>
      <c r="G51" s="218"/>
      <c r="H51" s="218"/>
      <c r="I51" s="218"/>
      <c r="J51" s="218"/>
      <c r="K51" s="218"/>
      <c r="L51" s="218"/>
      <c r="M51" s="218"/>
      <c r="N51" s="218"/>
      <c r="O51" s="218"/>
    </row>
    <row r="52" spans="1:16" s="242" customFormat="1" ht="35.1" customHeight="1" thickBot="1" x14ac:dyDescent="0.25">
      <c r="A52" s="383" t="s">
        <v>126</v>
      </c>
      <c r="B52" s="384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</row>
    <row r="53" spans="1:16" s="148" customFormat="1" ht="35.1" customHeight="1" x14ac:dyDescent="0.2">
      <c r="A53" s="235">
        <f>+A49+1</f>
        <v>26</v>
      </c>
      <c r="B53" s="72" t="s">
        <v>151</v>
      </c>
      <c r="C53" s="73" t="s">
        <v>336</v>
      </c>
      <c r="D53" s="233" t="s">
        <v>72</v>
      </c>
      <c r="E53" s="72" t="s">
        <v>97</v>
      </c>
      <c r="F53" s="216">
        <v>60000</v>
      </c>
      <c r="G53" s="68">
        <f>F53*2.87%</f>
        <v>1722</v>
      </c>
      <c r="H53" s="68">
        <f>+F53*3.04%</f>
        <v>1824</v>
      </c>
      <c r="I53" s="68">
        <v>1919.78</v>
      </c>
      <c r="J53" s="69">
        <f>+G53+H53+I53</f>
        <v>5465.78</v>
      </c>
      <c r="K53" s="69">
        <f>+F53-J53</f>
        <v>54534.22</v>
      </c>
      <c r="L53" s="69">
        <v>0</v>
      </c>
      <c r="M53" s="68">
        <v>990.29</v>
      </c>
      <c r="N53" s="215">
        <f>+M53+I53+H53+G53+L53</f>
        <v>6456.07</v>
      </c>
      <c r="O53" s="84">
        <f>+F53-N53</f>
        <v>53543.93</v>
      </c>
      <c r="P53" s="219"/>
    </row>
    <row r="54" spans="1:16" s="148" customFormat="1" ht="35.1" customHeight="1" x14ac:dyDescent="0.2">
      <c r="A54" s="223" t="s">
        <v>99</v>
      </c>
      <c r="B54" s="224"/>
      <c r="C54" s="224"/>
      <c r="D54" s="224"/>
      <c r="E54" s="239"/>
      <c r="F54" s="225">
        <f t="shared" ref="F54:L54" si="16">SUM(F53:F53)</f>
        <v>60000</v>
      </c>
      <c r="G54" s="225">
        <f t="shared" si="16"/>
        <v>1722</v>
      </c>
      <c r="H54" s="225">
        <f t="shared" si="16"/>
        <v>1824</v>
      </c>
      <c r="I54" s="225">
        <f t="shared" si="16"/>
        <v>1919.78</v>
      </c>
      <c r="J54" s="225">
        <f t="shared" si="16"/>
        <v>5465.78</v>
      </c>
      <c r="K54" s="225">
        <f t="shared" si="16"/>
        <v>54534.22</v>
      </c>
      <c r="L54" s="225">
        <f t="shared" si="16"/>
        <v>0</v>
      </c>
      <c r="M54" s="225">
        <f>SUM(M53:M53)</f>
        <v>990.29</v>
      </c>
      <c r="N54" s="225">
        <f>SUM(N53:N53)</f>
        <v>6456.07</v>
      </c>
      <c r="O54" s="225">
        <f>SUM(O53:O53)</f>
        <v>53543.93</v>
      </c>
      <c r="P54" s="219"/>
    </row>
    <row r="55" spans="1:16" s="219" customFormat="1" ht="35.1" customHeight="1" thickBot="1" x14ac:dyDescent="0.25">
      <c r="A55" s="247"/>
      <c r="B55" s="247"/>
      <c r="C55" s="248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</row>
    <row r="56" spans="1:16" s="219" customFormat="1" ht="35.1" customHeight="1" thickBot="1" x14ac:dyDescent="0.25">
      <c r="A56" s="383" t="s">
        <v>127</v>
      </c>
      <c r="B56" s="384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9"/>
      <c r="N56" s="246"/>
      <c r="O56" s="246"/>
    </row>
    <row r="57" spans="1:16" s="206" customFormat="1" ht="36.75" customHeight="1" x14ac:dyDescent="0.2">
      <c r="A57" s="213">
        <f>+A53+1</f>
        <v>27</v>
      </c>
      <c r="B57" s="214" t="s">
        <v>206</v>
      </c>
      <c r="C57" s="213" t="s">
        <v>336</v>
      </c>
      <c r="D57" s="222" t="s">
        <v>580</v>
      </c>
      <c r="E57" s="72" t="s">
        <v>97</v>
      </c>
      <c r="F57" s="215">
        <v>110000</v>
      </c>
      <c r="G57" s="215">
        <f>F57*2.87%</f>
        <v>3157</v>
      </c>
      <c r="H57" s="68">
        <f>+F57*3.04%</f>
        <v>3344</v>
      </c>
      <c r="I57" s="69">
        <f>1919.78*2</f>
        <v>3839.56</v>
      </c>
      <c r="J57" s="69">
        <f>+G57+H57+I57</f>
        <v>10340.56</v>
      </c>
      <c r="K57" s="69">
        <f>+F57-J57</f>
        <v>99659.44</v>
      </c>
      <c r="L57" s="69">
        <f>+IF(K57*12&lt;=416220.01,0,IF(K57*12&lt;=624329.01,(((K57*12-416220.01)*0.15)/12),IF((K57*12&lt;=867123.01),(31216+0.2*(K57*12-624329.01))/12,((79776+0.25*(K57*12-867123.01))/12))))</f>
        <v>13497.797291666668</v>
      </c>
      <c r="M57" s="221">
        <v>12017.39</v>
      </c>
      <c r="N57" s="215">
        <f>+M57+I57+H57+G57+L57</f>
        <v>35855.747291666667</v>
      </c>
      <c r="O57" s="84">
        <f>+F57-N57</f>
        <v>74144.252708333341</v>
      </c>
    </row>
    <row r="58" spans="1:16" s="148" customFormat="1" ht="35.1" customHeight="1" x14ac:dyDescent="0.2">
      <c r="A58" s="213">
        <f>+A57+1</f>
        <v>28</v>
      </c>
      <c r="B58" s="214" t="s">
        <v>47</v>
      </c>
      <c r="C58" s="213" t="s">
        <v>335</v>
      </c>
      <c r="D58" s="250" t="s">
        <v>580</v>
      </c>
      <c r="E58" s="214" t="s">
        <v>97</v>
      </c>
      <c r="F58" s="69">
        <v>110000</v>
      </c>
      <c r="G58" s="216">
        <f>F58*2.87%</f>
        <v>3157</v>
      </c>
      <c r="H58" s="68">
        <f>+F58*3.04%</f>
        <v>3344</v>
      </c>
      <c r="I58" s="68"/>
      <c r="J58" s="69">
        <f>+G58+H58+I58</f>
        <v>6501</v>
      </c>
      <c r="K58" s="69">
        <f>+F58-J58</f>
        <v>103499</v>
      </c>
      <c r="L58" s="69">
        <f>+IF(K58*12&lt;=416220.01,0,IF(K58*12&lt;=624329.01,(((K58*12-416220.01)*0.15)/12),IF((K58*12&lt;=867123.01),(31216+0.2*(K58*12-624329.01))/12,((79776+0.25*(K58*12-867123.01))/12))))</f>
        <v>14457.687291666667</v>
      </c>
      <c r="M58" s="234">
        <v>265</v>
      </c>
      <c r="N58" s="215">
        <f>+M58+I58+H58+G58+L58</f>
        <v>21223.687291666669</v>
      </c>
      <c r="O58" s="84">
        <f>+F58-N58</f>
        <v>88776.312708333338</v>
      </c>
      <c r="P58" s="219"/>
    </row>
    <row r="59" spans="1:16" s="148" customFormat="1" ht="35.1" customHeight="1" x14ac:dyDescent="0.2">
      <c r="A59" s="213">
        <f>+A58+1</f>
        <v>29</v>
      </c>
      <c r="B59" s="220" t="s">
        <v>239</v>
      </c>
      <c r="C59" s="213" t="s">
        <v>336</v>
      </c>
      <c r="D59" s="250" t="s">
        <v>580</v>
      </c>
      <c r="E59" s="214" t="s">
        <v>96</v>
      </c>
      <c r="F59" s="69">
        <v>100000</v>
      </c>
      <c r="G59" s="216">
        <f>F59*2.87%</f>
        <v>2870</v>
      </c>
      <c r="H59" s="68">
        <f>+F59*3.04%</f>
        <v>3040</v>
      </c>
      <c r="I59" s="68"/>
      <c r="J59" s="69">
        <f>+G59+H59+I59</f>
        <v>5910</v>
      </c>
      <c r="K59" s="69">
        <f>+F59-J59</f>
        <v>94090</v>
      </c>
      <c r="L59" s="69">
        <v>10301.68</v>
      </c>
      <c r="M59" s="221">
        <v>18556.11</v>
      </c>
      <c r="N59" s="215">
        <f>+M59+I59+H59+G59+L59</f>
        <v>34767.79</v>
      </c>
      <c r="O59" s="84">
        <f>+F59-N59</f>
        <v>65232.21</v>
      </c>
      <c r="P59" s="219"/>
    </row>
    <row r="60" spans="1:16" s="148" customFormat="1" ht="35.1" customHeight="1" x14ac:dyDescent="0.2">
      <c r="A60" s="223" t="s">
        <v>99</v>
      </c>
      <c r="B60" s="224"/>
      <c r="C60" s="224"/>
      <c r="D60" s="224"/>
      <c r="E60" s="239"/>
      <c r="F60" s="225">
        <f t="shared" ref="F60:O60" si="17">SUM(F57:F59)</f>
        <v>320000</v>
      </c>
      <c r="G60" s="225">
        <f t="shared" si="17"/>
        <v>9184</v>
      </c>
      <c r="H60" s="225">
        <f t="shared" si="17"/>
        <v>9728</v>
      </c>
      <c r="I60" s="225">
        <f t="shared" si="17"/>
        <v>3839.56</v>
      </c>
      <c r="J60" s="225">
        <f t="shared" si="17"/>
        <v>22751.559999999998</v>
      </c>
      <c r="K60" s="225">
        <f t="shared" si="17"/>
        <v>297248.44</v>
      </c>
      <c r="L60" s="225">
        <f t="shared" si="17"/>
        <v>38257.164583333331</v>
      </c>
      <c r="M60" s="225">
        <f t="shared" si="17"/>
        <v>30838.5</v>
      </c>
      <c r="N60" s="225">
        <f t="shared" si="17"/>
        <v>91847.224583333329</v>
      </c>
      <c r="O60" s="225">
        <f t="shared" si="17"/>
        <v>228152.77541666667</v>
      </c>
      <c r="P60" s="219"/>
    </row>
    <row r="61" spans="1:16" s="148" customFormat="1" ht="35.1" customHeight="1" thickBot="1" x14ac:dyDescent="0.25">
      <c r="A61" s="203"/>
      <c r="B61" s="147"/>
      <c r="C61" s="203"/>
      <c r="D61" s="228"/>
      <c r="E61" s="147"/>
      <c r="P61" s="219"/>
    </row>
    <row r="62" spans="1:16" s="148" customFormat="1" ht="35.1" customHeight="1" thickBot="1" x14ac:dyDescent="0.25">
      <c r="A62" s="383" t="s">
        <v>154</v>
      </c>
      <c r="B62" s="384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51"/>
      <c r="P62" s="219"/>
    </row>
    <row r="63" spans="1:16" s="206" customFormat="1" ht="35.1" customHeight="1" x14ac:dyDescent="0.2">
      <c r="A63" s="235">
        <f>+A59+1</f>
        <v>30</v>
      </c>
      <c r="B63" s="72" t="s">
        <v>211</v>
      </c>
      <c r="C63" s="73" t="s">
        <v>336</v>
      </c>
      <c r="D63" s="233" t="s">
        <v>580</v>
      </c>
      <c r="E63" s="72" t="s">
        <v>97</v>
      </c>
      <c r="F63" s="216">
        <v>104000</v>
      </c>
      <c r="G63" s="68">
        <f>F63*2.87%</f>
        <v>2984.8</v>
      </c>
      <c r="H63" s="68">
        <f>+F63*3.04%</f>
        <v>3161.6</v>
      </c>
      <c r="I63" s="68">
        <f>1919.78*2</f>
        <v>3839.56</v>
      </c>
      <c r="J63" s="69">
        <f>+G63+H63+I63</f>
        <v>9985.9599999999991</v>
      </c>
      <c r="K63" s="69">
        <f>+F63-J63</f>
        <v>94014.040000000008</v>
      </c>
      <c r="L63" s="69">
        <f>+IF(K63*12&lt;=416220.01,0,IF(K63*12&lt;=624329.01,(((K63*12-416220.01)*0.15)/12),IF((K63*12&lt;=867123.01),(31216+0.2*(K63*12-624329.01))/12,((79776+0.25*(K63*12-867123.01))/12))))</f>
        <v>12086.447291666665</v>
      </c>
      <c r="M63" s="234">
        <v>17647.05</v>
      </c>
      <c r="N63" s="215">
        <f>+M63+I63+H63+G63+L63</f>
        <v>39719.457291666666</v>
      </c>
      <c r="O63" s="84">
        <f>+F63-N63</f>
        <v>64280.542708333334</v>
      </c>
    </row>
    <row r="64" spans="1:16" s="242" customFormat="1" ht="35.1" customHeight="1" x14ac:dyDescent="0.2">
      <c r="A64" s="213">
        <f>+A63+1</f>
        <v>31</v>
      </c>
      <c r="B64" s="72" t="s">
        <v>39</v>
      </c>
      <c r="C64" s="73" t="s">
        <v>335</v>
      </c>
      <c r="D64" s="233" t="s">
        <v>580</v>
      </c>
      <c r="E64" s="72" t="s">
        <v>96</v>
      </c>
      <c r="F64" s="216">
        <v>100000</v>
      </c>
      <c r="G64" s="216">
        <f>F64*2.87%</f>
        <v>2870</v>
      </c>
      <c r="H64" s="68">
        <f>+F64*3.04%</f>
        <v>3040</v>
      </c>
      <c r="I64" s="68">
        <v>1919.78</v>
      </c>
      <c r="J64" s="69">
        <f>+G64+H64+I64</f>
        <v>7829.78</v>
      </c>
      <c r="K64" s="69">
        <f>+F64-J64</f>
        <v>92170.22</v>
      </c>
      <c r="L64" s="69">
        <v>8861.9</v>
      </c>
      <c r="M64" s="221">
        <v>5333.45</v>
      </c>
      <c r="N64" s="215">
        <f>+M64+I64+H64+G64+L64</f>
        <v>22025.129999999997</v>
      </c>
      <c r="O64" s="84">
        <f>+F64-N64</f>
        <v>77974.87</v>
      </c>
    </row>
    <row r="65" spans="1:16" s="242" customFormat="1" ht="35.1" customHeight="1" x14ac:dyDescent="0.2">
      <c r="A65" s="213">
        <f>+A64+1</f>
        <v>32</v>
      </c>
      <c r="B65" s="72" t="s">
        <v>210</v>
      </c>
      <c r="C65" s="73" t="s">
        <v>335</v>
      </c>
      <c r="D65" s="233" t="s">
        <v>580</v>
      </c>
      <c r="E65" s="72" t="s">
        <v>96</v>
      </c>
      <c r="F65" s="216">
        <v>90000</v>
      </c>
      <c r="G65" s="216">
        <f>F65*2.87%</f>
        <v>2583</v>
      </c>
      <c r="H65" s="68">
        <f>+F65*3.04%</f>
        <v>2736</v>
      </c>
      <c r="I65" s="68">
        <f>1919.78*2</f>
        <v>3839.56</v>
      </c>
      <c r="J65" s="69">
        <f>+G65+H65+I65</f>
        <v>9158.56</v>
      </c>
      <c r="K65" s="69">
        <f>+F65-J65</f>
        <v>80841.440000000002</v>
      </c>
      <c r="L65" s="69">
        <v>365.26</v>
      </c>
      <c r="M65" s="221">
        <v>5567.54</v>
      </c>
      <c r="N65" s="215">
        <f>+M65+I65+H65+G65+L65</f>
        <v>15091.36</v>
      </c>
      <c r="O65" s="84">
        <f>+F65-N65</f>
        <v>74908.639999999999</v>
      </c>
    </row>
    <row r="66" spans="1:16" s="148" customFormat="1" ht="45.75" customHeight="1" thickBot="1" x14ac:dyDescent="0.25">
      <c r="A66" s="223" t="s">
        <v>99</v>
      </c>
      <c r="B66" s="224"/>
      <c r="C66" s="224"/>
      <c r="D66" s="224"/>
      <c r="E66" s="239"/>
      <c r="F66" s="225">
        <f t="shared" ref="F66:O66" si="18">SUM(F63:F65)</f>
        <v>294000</v>
      </c>
      <c r="G66" s="225">
        <f t="shared" si="18"/>
        <v>8437.7999999999993</v>
      </c>
      <c r="H66" s="225">
        <f t="shared" si="18"/>
        <v>8937.6</v>
      </c>
      <c r="I66" s="225">
        <f t="shared" si="18"/>
        <v>9598.9</v>
      </c>
      <c r="J66" s="225">
        <f t="shared" si="18"/>
        <v>26974.299999999996</v>
      </c>
      <c r="K66" s="225">
        <f t="shared" si="18"/>
        <v>267025.7</v>
      </c>
      <c r="L66" s="225">
        <f t="shared" si="18"/>
        <v>21313.607291666664</v>
      </c>
      <c r="M66" s="225">
        <f t="shared" si="18"/>
        <v>28548.04</v>
      </c>
      <c r="N66" s="225">
        <f t="shared" si="18"/>
        <v>76835.947291666671</v>
      </c>
      <c r="O66" s="225">
        <f t="shared" si="18"/>
        <v>217164.05270833336</v>
      </c>
      <c r="P66" s="219"/>
    </row>
    <row r="67" spans="1:16" s="226" customFormat="1" ht="35.1" customHeight="1" thickBot="1" x14ac:dyDescent="0.25">
      <c r="A67" s="383" t="s">
        <v>128</v>
      </c>
      <c r="B67" s="384"/>
      <c r="C67" s="384"/>
      <c r="D67" s="246"/>
      <c r="E67" s="246"/>
      <c r="F67" s="246"/>
      <c r="G67" s="246"/>
      <c r="H67" s="246"/>
      <c r="I67" s="246"/>
      <c r="J67" s="246"/>
      <c r="K67" s="246"/>
      <c r="L67" s="246"/>
      <c r="M67" s="249"/>
      <c r="N67" s="246"/>
      <c r="O67" s="246"/>
      <c r="P67" s="242"/>
    </row>
    <row r="68" spans="1:16" s="148" customFormat="1" ht="35.1" customHeight="1" x14ac:dyDescent="0.2">
      <c r="A68" s="237">
        <f>+A65+1</f>
        <v>33</v>
      </c>
      <c r="B68" s="244" t="s">
        <v>46</v>
      </c>
      <c r="C68" s="237" t="s">
        <v>336</v>
      </c>
      <c r="D68" s="250" t="s">
        <v>155</v>
      </c>
      <c r="E68" s="238" t="s">
        <v>97</v>
      </c>
      <c r="F68" s="69">
        <v>138000</v>
      </c>
      <c r="G68" s="68">
        <f>F68*2.87%</f>
        <v>3960.6</v>
      </c>
      <c r="H68" s="68">
        <f>+F68*3.04%</f>
        <v>4195.2</v>
      </c>
      <c r="I68" s="69"/>
      <c r="J68" s="69">
        <f>+G68+H68+I68</f>
        <v>8155.7999999999993</v>
      </c>
      <c r="K68" s="69">
        <f>+F68-J68</f>
        <v>129844.2</v>
      </c>
      <c r="L68" s="69">
        <f>+IF(K68*12&lt;=416220.01,0,IF(K68*12&lt;=624329.01,(((K68*12-416220.01)*0.15)/12),IF((K68*12&lt;=867123.01),(31216+0.2*(K68*12-624329.01))/12,((79776+0.25*(K68*12-867123.01))/12))))</f>
        <v>21043.987291666665</v>
      </c>
      <c r="M68" s="217">
        <v>37548.35</v>
      </c>
      <c r="N68" s="215">
        <f>+M68+I68+H68+G68+L68</f>
        <v>66748.137291666659</v>
      </c>
      <c r="O68" s="217">
        <f>+F68-N68</f>
        <v>71251.862708333341</v>
      </c>
      <c r="P68" s="219"/>
    </row>
    <row r="69" spans="1:16" s="252" customFormat="1" ht="35.1" customHeight="1" x14ac:dyDescent="0.2">
      <c r="A69" s="235">
        <f>+A68+1</f>
        <v>34</v>
      </c>
      <c r="B69" s="72" t="s">
        <v>45</v>
      </c>
      <c r="C69" s="73" t="s">
        <v>336</v>
      </c>
      <c r="D69" s="233" t="s">
        <v>72</v>
      </c>
      <c r="E69" s="72" t="s">
        <v>96</v>
      </c>
      <c r="F69" s="216">
        <v>60000</v>
      </c>
      <c r="G69" s="216">
        <f>F69*2.87%</f>
        <v>1722</v>
      </c>
      <c r="H69" s="68">
        <f>+F69*3.04%</f>
        <v>1824</v>
      </c>
      <c r="I69" s="68"/>
      <c r="J69" s="69">
        <f>+G69+H69+I69</f>
        <v>3546</v>
      </c>
      <c r="K69" s="69">
        <f>+F69-J69</f>
        <v>56454</v>
      </c>
      <c r="L69" s="69">
        <f>+IF(K69*12&lt;=416220.01,0,IF(K69*12&lt;=624329.01,(((K69*12-416220.01)*0.15)/12),IF((K69*12&lt;=867123.01),(31216+0.2*(K69*12-624329.01))/12,((79776+0.25*(K69*12-867123.01))/12))))</f>
        <v>3486.6498333333329</v>
      </c>
      <c r="M69" s="84">
        <v>1290.29</v>
      </c>
      <c r="N69" s="215">
        <f>+M69+I69+H69+G69+L69</f>
        <v>8322.9398333333338</v>
      </c>
      <c r="O69" s="84">
        <f>+F69-N69</f>
        <v>51677.060166666663</v>
      </c>
    </row>
    <row r="70" spans="1:16" s="219" customFormat="1" ht="35.1" customHeight="1" x14ac:dyDescent="0.2">
      <c r="A70" s="223" t="s">
        <v>99</v>
      </c>
      <c r="B70" s="224"/>
      <c r="C70" s="224"/>
      <c r="D70" s="224"/>
      <c r="E70" s="239"/>
      <c r="F70" s="225">
        <f t="shared" ref="F70:L70" si="19">SUM(F68:F69)</f>
        <v>198000</v>
      </c>
      <c r="G70" s="225">
        <f t="shared" si="19"/>
        <v>5682.6</v>
      </c>
      <c r="H70" s="225">
        <f t="shared" si="19"/>
        <v>6019.2</v>
      </c>
      <c r="I70" s="225">
        <f t="shared" si="19"/>
        <v>0</v>
      </c>
      <c r="J70" s="225">
        <f t="shared" si="19"/>
        <v>11701.8</v>
      </c>
      <c r="K70" s="225">
        <f t="shared" si="19"/>
        <v>186298.2</v>
      </c>
      <c r="L70" s="225">
        <f t="shared" si="19"/>
        <v>24530.637124999997</v>
      </c>
      <c r="M70" s="225">
        <f>SUM(M68:M69)</f>
        <v>38838.639999999999</v>
      </c>
      <c r="N70" s="225">
        <f>SUM(N68:N69)</f>
        <v>75071.077124999996</v>
      </c>
      <c r="O70" s="225">
        <f>SUM(O68:O69)</f>
        <v>122928.922875</v>
      </c>
    </row>
    <row r="71" spans="1:16" s="242" customFormat="1" ht="35.1" customHeight="1" thickBot="1" x14ac:dyDescent="0.25">
      <c r="A71" s="203"/>
      <c r="B71" s="147"/>
      <c r="C71" s="203"/>
      <c r="D71" s="147"/>
      <c r="E71" s="147"/>
      <c r="F71" s="148"/>
      <c r="G71" s="148"/>
      <c r="H71" s="148"/>
      <c r="I71" s="148"/>
      <c r="J71" s="148"/>
      <c r="K71" s="148"/>
      <c r="L71" s="148"/>
      <c r="M71" s="148"/>
      <c r="N71" s="148"/>
      <c r="O71" s="148"/>
    </row>
    <row r="72" spans="1:16" s="218" customFormat="1" ht="35.1" customHeight="1" thickBot="1" x14ac:dyDescent="0.25">
      <c r="A72" s="383" t="s">
        <v>129</v>
      </c>
      <c r="B72" s="384"/>
      <c r="C72" s="384"/>
      <c r="D72" s="384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</row>
    <row r="73" spans="1:16" s="242" customFormat="1" ht="35.1" customHeight="1" x14ac:dyDescent="0.2">
      <c r="A73" s="235">
        <f>+A69+1</f>
        <v>35</v>
      </c>
      <c r="B73" s="72" t="s">
        <v>433</v>
      </c>
      <c r="C73" s="73" t="s">
        <v>336</v>
      </c>
      <c r="D73" s="233" t="s">
        <v>580</v>
      </c>
      <c r="E73" s="72" t="s">
        <v>471</v>
      </c>
      <c r="F73" s="216">
        <v>110000</v>
      </c>
      <c r="G73" s="69">
        <f>F73*2.87%</f>
        <v>3157</v>
      </c>
      <c r="H73" s="69">
        <f>+F73*3.04%</f>
        <v>3344</v>
      </c>
      <c r="I73" s="68">
        <v>1919.78</v>
      </c>
      <c r="J73" s="69">
        <f>+G73+H73+I73</f>
        <v>8420.7800000000007</v>
      </c>
      <c r="K73" s="69">
        <f>+F73-J73</f>
        <v>101579.22</v>
      </c>
      <c r="L73" s="69">
        <f>+IF(K73*12&lt;=416220.01,0,IF(K73*12&lt;=624329.01,(((K73*12-416220.01)*0.15)/12),IF((K73*12&lt;=867123.01),(31216+0.2*(K73*12-624329.01))/12,((79776+0.25*(K73*12-867123.01))/12))))</f>
        <v>13977.742291666669</v>
      </c>
      <c r="M73" s="84">
        <v>25</v>
      </c>
      <c r="N73" s="215">
        <f>+M73+I73+H73+G73+L73</f>
        <v>22423.522291666668</v>
      </c>
      <c r="O73" s="84">
        <f>+F73-N73</f>
        <v>87576.477708333332</v>
      </c>
    </row>
    <row r="74" spans="1:16" s="219" customFormat="1" ht="35.1" customHeight="1" x14ac:dyDescent="0.2">
      <c r="A74" s="235">
        <f>+A73+1</f>
        <v>36</v>
      </c>
      <c r="B74" s="72" t="s">
        <v>231</v>
      </c>
      <c r="C74" s="73" t="s">
        <v>336</v>
      </c>
      <c r="D74" s="233" t="s">
        <v>580</v>
      </c>
      <c r="E74" s="72" t="s">
        <v>96</v>
      </c>
      <c r="F74" s="216">
        <v>90000</v>
      </c>
      <c r="G74" s="216">
        <f>F74*2.87%</f>
        <v>2583</v>
      </c>
      <c r="H74" s="68">
        <f>+F74*3.04%</f>
        <v>2736</v>
      </c>
      <c r="I74" s="68">
        <v>1919.78</v>
      </c>
      <c r="J74" s="69">
        <f>+G74+H74+I74</f>
        <v>7238.78</v>
      </c>
      <c r="K74" s="69">
        <f>+F74-J74</f>
        <v>82761.22</v>
      </c>
      <c r="L74" s="69">
        <f t="shared" ref="L74:L76" si="20">+IF(K74*12&lt;=416220.01,0,IF(K74*12&lt;=624329.01,(((K74*12-416220.01)*0.15)/12),IF((K74*12&lt;=867123.01),(31216+0.2*(K74*12-624329.01))/12,((79776+0.25*(K74*12-867123.01))/12))))</f>
        <v>9273.2422916666674</v>
      </c>
      <c r="M74" s="217">
        <v>14950.29</v>
      </c>
      <c r="N74" s="215">
        <f>+M74+I74+H74+G74+L74</f>
        <v>31462.312291666669</v>
      </c>
      <c r="O74" s="84">
        <f>+F74-N74</f>
        <v>58537.687708333331</v>
      </c>
    </row>
    <row r="75" spans="1:16" s="148" customFormat="1" ht="35.1" customHeight="1" x14ac:dyDescent="0.2">
      <c r="A75" s="235">
        <f>+A74+1</f>
        <v>37</v>
      </c>
      <c r="B75" s="72" t="s">
        <v>369</v>
      </c>
      <c r="C75" s="73" t="s">
        <v>335</v>
      </c>
      <c r="D75" s="233" t="s">
        <v>580</v>
      </c>
      <c r="E75" s="72" t="s">
        <v>471</v>
      </c>
      <c r="F75" s="216">
        <v>90000</v>
      </c>
      <c r="G75" s="69">
        <f>F75*2.87%</f>
        <v>2583</v>
      </c>
      <c r="H75" s="69">
        <f>+F75*3.04%</f>
        <v>2736</v>
      </c>
      <c r="I75" s="69"/>
      <c r="J75" s="69">
        <f>+G75+H75+I75</f>
        <v>5319</v>
      </c>
      <c r="K75" s="69">
        <f>+F75-J75</f>
        <v>84681</v>
      </c>
      <c r="L75" s="69">
        <v>3244.93</v>
      </c>
      <c r="M75" s="84">
        <v>1290.29</v>
      </c>
      <c r="N75" s="215">
        <f>+M75+I75+H75+G75+L75</f>
        <v>9854.2199999999993</v>
      </c>
      <c r="O75" s="84">
        <f>+F75-N75</f>
        <v>80145.78</v>
      </c>
      <c r="P75" s="219"/>
    </row>
    <row r="76" spans="1:16" s="148" customFormat="1" ht="35.1" customHeight="1" x14ac:dyDescent="0.2">
      <c r="A76" s="235">
        <f>+A75+1</f>
        <v>38</v>
      </c>
      <c r="B76" s="72" t="s">
        <v>592</v>
      </c>
      <c r="C76" s="73" t="s">
        <v>336</v>
      </c>
      <c r="D76" s="233" t="s">
        <v>580</v>
      </c>
      <c r="E76" s="72" t="s">
        <v>471</v>
      </c>
      <c r="F76" s="216">
        <v>90000</v>
      </c>
      <c r="G76" s="69">
        <f>F76*2.87%</f>
        <v>2583</v>
      </c>
      <c r="H76" s="69">
        <f>+F76*3.04%</f>
        <v>2736</v>
      </c>
      <c r="I76" s="69"/>
      <c r="J76" s="69">
        <f>+G76+H76+I76</f>
        <v>5319</v>
      </c>
      <c r="K76" s="69">
        <f>+F76-J76</f>
        <v>84681</v>
      </c>
      <c r="L76" s="69">
        <f t="shared" si="20"/>
        <v>9753.1872916666671</v>
      </c>
      <c r="M76" s="84">
        <v>225</v>
      </c>
      <c r="N76" s="215">
        <f>+M76+I76+H76+G76+L76</f>
        <v>15297.187291666667</v>
      </c>
      <c r="O76" s="84">
        <f>+F76-N76</f>
        <v>74702.812708333338</v>
      </c>
      <c r="P76" s="219"/>
    </row>
    <row r="77" spans="1:16" s="148" customFormat="1" ht="35.1" customHeight="1" x14ac:dyDescent="0.2">
      <c r="A77" s="223" t="s">
        <v>99</v>
      </c>
      <c r="B77" s="224"/>
      <c r="C77" s="224"/>
      <c r="D77" s="224"/>
      <c r="E77" s="239"/>
      <c r="F77" s="225">
        <f>SUM(F73:F76)</f>
        <v>380000</v>
      </c>
      <c r="G77" s="225">
        <f t="shared" ref="G77:O77" si="21">SUM(G73:G76)</f>
        <v>10906</v>
      </c>
      <c r="H77" s="225">
        <f t="shared" si="21"/>
        <v>11552</v>
      </c>
      <c r="I77" s="225">
        <f t="shared" si="21"/>
        <v>3839.56</v>
      </c>
      <c r="J77" s="225">
        <f t="shared" si="21"/>
        <v>26297.56</v>
      </c>
      <c r="K77" s="225">
        <f t="shared" si="21"/>
        <v>353702.44</v>
      </c>
      <c r="L77" s="225">
        <f t="shared" si="21"/>
        <v>36249.101875000008</v>
      </c>
      <c r="M77" s="225">
        <f t="shared" si="21"/>
        <v>16490.580000000002</v>
      </c>
      <c r="N77" s="225">
        <f t="shared" si="21"/>
        <v>79037.241875000007</v>
      </c>
      <c r="O77" s="225">
        <f t="shared" si="21"/>
        <v>300962.75812499999</v>
      </c>
      <c r="P77" s="219"/>
    </row>
    <row r="78" spans="1:16" s="219" customFormat="1" ht="35.1" customHeight="1" thickBot="1" x14ac:dyDescent="0.25">
      <c r="A78" s="203"/>
      <c r="B78" s="147"/>
      <c r="C78" s="203"/>
      <c r="D78" s="228"/>
      <c r="E78" s="147"/>
      <c r="F78" s="148"/>
      <c r="G78" s="148"/>
      <c r="H78" s="148"/>
      <c r="I78" s="148"/>
      <c r="J78" s="148"/>
      <c r="K78" s="148"/>
      <c r="L78" s="148"/>
      <c r="M78" s="148"/>
      <c r="N78" s="148"/>
      <c r="O78" s="148"/>
    </row>
    <row r="79" spans="1:16" s="219" customFormat="1" ht="35.1" customHeight="1" thickBot="1" x14ac:dyDescent="0.25">
      <c r="A79" s="383" t="s">
        <v>130</v>
      </c>
      <c r="B79" s="384"/>
      <c r="C79" s="384"/>
      <c r="D79" s="384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</row>
    <row r="80" spans="1:16" s="148" customFormat="1" ht="35.1" customHeight="1" x14ac:dyDescent="0.2">
      <c r="A80" s="73">
        <f>+A76+1</f>
        <v>39</v>
      </c>
      <c r="B80" s="253" t="s">
        <v>131</v>
      </c>
      <c r="C80" s="254" t="s">
        <v>336</v>
      </c>
      <c r="D80" s="72" t="s">
        <v>580</v>
      </c>
      <c r="E80" s="72" t="s">
        <v>97</v>
      </c>
      <c r="F80" s="255">
        <v>100000</v>
      </c>
      <c r="G80" s="216">
        <f>F80*2.87%</f>
        <v>2870</v>
      </c>
      <c r="H80" s="216">
        <f>+F80*3.04%</f>
        <v>3040</v>
      </c>
      <c r="I80" s="216">
        <f>1919.78*2</f>
        <v>3839.56</v>
      </c>
      <c r="J80" s="216">
        <f>+G80+H80+I80</f>
        <v>9749.56</v>
      </c>
      <c r="K80" s="216">
        <f>+F80-J80</f>
        <v>90250.44</v>
      </c>
      <c r="L80" s="216">
        <f>+IF(K80*12&lt;=416220.01,0,IF(K80*12&lt;=624329.01,(((K80*12-416220.01)*0.15)/12),IF((K80*12&lt;=867123.01),(31216+0.2*(K80*12-624329.01))/12,((79776+0.25*(K80*12-867123.01))/12))))</f>
        <v>11145.547291666668</v>
      </c>
      <c r="M80" s="221">
        <v>10922.97</v>
      </c>
      <c r="N80" s="216">
        <f>+M80+I80+H80+G80+L80</f>
        <v>31818.077291666668</v>
      </c>
      <c r="O80" s="221">
        <f>+F80-N80</f>
        <v>68181.922708333324</v>
      </c>
      <c r="P80" s="219"/>
    </row>
    <row r="81" spans="1:16" s="148" customFormat="1" ht="35.1" customHeight="1" x14ac:dyDescent="0.2">
      <c r="A81" s="73">
        <f>+A80+1</f>
        <v>40</v>
      </c>
      <c r="B81" s="253" t="s">
        <v>33</v>
      </c>
      <c r="C81" s="254" t="s">
        <v>336</v>
      </c>
      <c r="D81" s="72" t="s">
        <v>580</v>
      </c>
      <c r="E81" s="72" t="s">
        <v>97</v>
      </c>
      <c r="F81" s="255">
        <v>95000</v>
      </c>
      <c r="G81" s="216">
        <f>F81*2.87%</f>
        <v>2726.5</v>
      </c>
      <c r="H81" s="216">
        <f>+F81*3.04%</f>
        <v>2888</v>
      </c>
      <c r="I81" s="216"/>
      <c r="J81" s="216">
        <f>+G81+H81+I81</f>
        <v>5614.5</v>
      </c>
      <c r="K81" s="216">
        <f>+F81-J81</f>
        <v>89385.5</v>
      </c>
      <c r="L81" s="216">
        <v>6773.36</v>
      </c>
      <c r="M81" s="221">
        <v>225</v>
      </c>
      <c r="N81" s="216">
        <f>+M81+I81+H81+G81+L81</f>
        <v>12612.86</v>
      </c>
      <c r="O81" s="221">
        <f>+F81-N81</f>
        <v>82387.14</v>
      </c>
      <c r="P81" s="219"/>
    </row>
    <row r="82" spans="1:16" s="148" customFormat="1" ht="35.1" customHeight="1" x14ac:dyDescent="0.2">
      <c r="A82" s="213">
        <f>+A81+1</f>
        <v>41</v>
      </c>
      <c r="B82" s="253" t="s">
        <v>59</v>
      </c>
      <c r="C82" s="254" t="s">
        <v>336</v>
      </c>
      <c r="D82" s="72" t="s">
        <v>580</v>
      </c>
      <c r="E82" s="72" t="s">
        <v>96</v>
      </c>
      <c r="F82" s="255">
        <v>90000</v>
      </c>
      <c r="G82" s="216">
        <f>F82*2.87%</f>
        <v>2583</v>
      </c>
      <c r="H82" s="216">
        <f>+F82*3.04%</f>
        <v>2736</v>
      </c>
      <c r="I82" s="216">
        <v>1919.78</v>
      </c>
      <c r="J82" s="215">
        <f>+G82+H82+I82</f>
        <v>7238.78</v>
      </c>
      <c r="K82" s="215">
        <f>+F82-J82</f>
        <v>82761.22</v>
      </c>
      <c r="L82" s="216">
        <f t="shared" ref="L82" si="22">+IF(K82*12&lt;=416220.01,0,IF(K82*12&lt;=624329.01,(((K82*12-416220.01)*0.15)/12),IF((K82*12&lt;=867123.01),(31216+0.2*(K82*12-624329.01))/12,((79776+0.25*(K82*12-867123.01))/12))))</f>
        <v>9273.2422916666674</v>
      </c>
      <c r="M82" s="221">
        <v>11213.52</v>
      </c>
      <c r="N82" s="215">
        <f>+M82+I82+H82+G82+L82</f>
        <v>27725.542291666672</v>
      </c>
      <c r="O82" s="217">
        <f>+F82-N82</f>
        <v>62274.457708333328</v>
      </c>
      <c r="P82" s="219"/>
    </row>
    <row r="83" spans="1:16" s="148" customFormat="1" ht="35.1" customHeight="1" x14ac:dyDescent="0.2">
      <c r="A83" s="223" t="s">
        <v>99</v>
      </c>
      <c r="B83" s="224"/>
      <c r="C83" s="224"/>
      <c r="D83" s="224"/>
      <c r="E83" s="239"/>
      <c r="F83" s="225">
        <f t="shared" ref="F83:O83" si="23">SUM(F80:F82)</f>
        <v>285000</v>
      </c>
      <c r="G83" s="225">
        <f t="shared" si="23"/>
        <v>8179.5</v>
      </c>
      <c r="H83" s="225">
        <f t="shared" si="23"/>
        <v>8664</v>
      </c>
      <c r="I83" s="225">
        <f t="shared" si="23"/>
        <v>5759.34</v>
      </c>
      <c r="J83" s="225">
        <f t="shared" si="23"/>
        <v>22602.84</v>
      </c>
      <c r="K83" s="225">
        <f t="shared" si="23"/>
        <v>262397.16000000003</v>
      </c>
      <c r="L83" s="225">
        <f t="shared" si="23"/>
        <v>27192.149583333332</v>
      </c>
      <c r="M83" s="225">
        <f t="shared" si="23"/>
        <v>22361.489999999998</v>
      </c>
      <c r="N83" s="225">
        <f t="shared" si="23"/>
        <v>72156.479583333334</v>
      </c>
      <c r="O83" s="225">
        <f t="shared" si="23"/>
        <v>212843.52041666664</v>
      </c>
      <c r="P83" s="219"/>
    </row>
    <row r="84" spans="1:16" s="148" customFormat="1" ht="35.1" customHeight="1" thickBot="1" x14ac:dyDescent="0.25">
      <c r="A84" s="203"/>
      <c r="B84" s="147"/>
      <c r="C84" s="203"/>
      <c r="D84" s="228"/>
      <c r="E84" s="147"/>
      <c r="P84" s="219"/>
    </row>
    <row r="85" spans="1:16" s="148" customFormat="1" ht="35.1" customHeight="1" thickBot="1" x14ac:dyDescent="0.25">
      <c r="A85" s="375" t="s">
        <v>132</v>
      </c>
      <c r="B85" s="376"/>
      <c r="C85" s="376"/>
      <c r="D85" s="37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19"/>
    </row>
    <row r="86" spans="1:16" s="148" customFormat="1" ht="35.1" customHeight="1" x14ac:dyDescent="0.2">
      <c r="A86" s="235">
        <f>+A82+1</f>
        <v>42</v>
      </c>
      <c r="B86" s="238" t="s">
        <v>67</v>
      </c>
      <c r="C86" s="235" t="s">
        <v>336</v>
      </c>
      <c r="D86" s="250" t="s">
        <v>580</v>
      </c>
      <c r="E86" s="238" t="s">
        <v>97</v>
      </c>
      <c r="F86" s="68">
        <v>100000</v>
      </c>
      <c r="G86" s="216">
        <f>F86*2.87%</f>
        <v>2870</v>
      </c>
      <c r="H86" s="216">
        <f>+F86*3.04%</f>
        <v>3040</v>
      </c>
      <c r="I86" s="68">
        <v>0</v>
      </c>
      <c r="J86" s="69">
        <f>+G86+H86+I86</f>
        <v>5910</v>
      </c>
      <c r="K86" s="69">
        <f>+F86-J86</f>
        <v>94090</v>
      </c>
      <c r="L86" s="215">
        <f t="shared" ref="L86:L88" si="24">+IF(K86*12&lt;=416220.01,0,IF(K86*12&lt;=624329.01,(((K86*12-416220.01)*0.15)/12),IF((K86*12&lt;=867123.01),(31216+0.2*(K86*12-624329.01))/12,((79776+0.25*(K86*12-867123.01))/12))))</f>
        <v>12105.437291666667</v>
      </c>
      <c r="M86" s="221">
        <v>12126.21</v>
      </c>
      <c r="N86" s="215">
        <f>+M86+I86+H86+G86+L86</f>
        <v>30141.647291666668</v>
      </c>
      <c r="O86" s="84">
        <f>+F86-N86</f>
        <v>69858.352708333332</v>
      </c>
      <c r="P86" s="219"/>
    </row>
    <row r="87" spans="1:16" s="148" customFormat="1" ht="35.1" customHeight="1" x14ac:dyDescent="0.2">
      <c r="A87" s="235">
        <f>+A86+1</f>
        <v>43</v>
      </c>
      <c r="B87" s="238" t="s">
        <v>215</v>
      </c>
      <c r="C87" s="235" t="s">
        <v>336</v>
      </c>
      <c r="D87" s="250" t="s">
        <v>580</v>
      </c>
      <c r="E87" s="238" t="s">
        <v>96</v>
      </c>
      <c r="F87" s="68">
        <v>95000</v>
      </c>
      <c r="G87" s="216">
        <f>F87*2.87%</f>
        <v>2726.5</v>
      </c>
      <c r="H87" s="216">
        <f>+F87*3.04%</f>
        <v>2888</v>
      </c>
      <c r="I87" s="216"/>
      <c r="J87" s="69">
        <f>+G87+H87+I87</f>
        <v>5614.5</v>
      </c>
      <c r="K87" s="69">
        <f>+F87-J87</f>
        <v>89385.5</v>
      </c>
      <c r="L87" s="215">
        <v>6773.36</v>
      </c>
      <c r="M87" s="221">
        <v>9314.56</v>
      </c>
      <c r="N87" s="215">
        <f>+M87+I87+H87+G87+L87</f>
        <v>21702.42</v>
      </c>
      <c r="O87" s="84">
        <f>+F87-N87</f>
        <v>73297.58</v>
      </c>
      <c r="P87" s="219"/>
    </row>
    <row r="88" spans="1:16" s="148" customFormat="1" ht="35.1" customHeight="1" x14ac:dyDescent="0.2">
      <c r="A88" s="235">
        <f>+A87+1</f>
        <v>44</v>
      </c>
      <c r="B88" s="238" t="s">
        <v>213</v>
      </c>
      <c r="C88" s="235" t="s">
        <v>336</v>
      </c>
      <c r="D88" s="250" t="s">
        <v>580</v>
      </c>
      <c r="E88" s="238" t="s">
        <v>96</v>
      </c>
      <c r="F88" s="68">
        <v>85000</v>
      </c>
      <c r="G88" s="68">
        <v>2439.5</v>
      </c>
      <c r="H88" s="68">
        <v>2584</v>
      </c>
      <c r="I88" s="68"/>
      <c r="J88" s="69">
        <f>+G88+H88+I88</f>
        <v>5023.5</v>
      </c>
      <c r="K88" s="69">
        <f>+F88-J88</f>
        <v>79976.5</v>
      </c>
      <c r="L88" s="215">
        <f t="shared" si="24"/>
        <v>8577.0622916666671</v>
      </c>
      <c r="M88" s="221">
        <v>1290.29</v>
      </c>
      <c r="N88" s="215">
        <f>+M88+I88+H88+G88+L88</f>
        <v>14890.852291666666</v>
      </c>
      <c r="O88" s="84">
        <f>+F88-N88</f>
        <v>70109.14770833333</v>
      </c>
      <c r="P88" s="219"/>
    </row>
    <row r="89" spans="1:16" s="206" customFormat="1" ht="35.1" customHeight="1" x14ac:dyDescent="0.2">
      <c r="A89" s="223" t="s">
        <v>99</v>
      </c>
      <c r="B89" s="224"/>
      <c r="C89" s="224"/>
      <c r="D89" s="224"/>
      <c r="E89" s="239"/>
      <c r="F89" s="225">
        <f t="shared" ref="F89:O89" si="25">SUM(F86:F88)</f>
        <v>280000</v>
      </c>
      <c r="G89" s="225">
        <f t="shared" si="25"/>
        <v>8036</v>
      </c>
      <c r="H89" s="225">
        <f t="shared" si="25"/>
        <v>8512</v>
      </c>
      <c r="I89" s="225">
        <f t="shared" si="25"/>
        <v>0</v>
      </c>
      <c r="J89" s="225">
        <f t="shared" si="25"/>
        <v>16548</v>
      </c>
      <c r="K89" s="225">
        <f t="shared" si="25"/>
        <v>263452</v>
      </c>
      <c r="L89" s="225">
        <f t="shared" si="25"/>
        <v>27455.859583333331</v>
      </c>
      <c r="M89" s="225">
        <f t="shared" si="25"/>
        <v>22731.059999999998</v>
      </c>
      <c r="N89" s="225">
        <f t="shared" si="25"/>
        <v>66734.919583333336</v>
      </c>
      <c r="O89" s="225">
        <f t="shared" si="25"/>
        <v>213265.08041666666</v>
      </c>
    </row>
    <row r="90" spans="1:16" s="219" customFormat="1" ht="35.1" customHeight="1" thickBot="1" x14ac:dyDescent="0.25">
      <c r="A90" s="203"/>
      <c r="B90" s="147"/>
      <c r="C90" s="203"/>
      <c r="D90" s="147"/>
      <c r="E90" s="147"/>
      <c r="F90" s="148"/>
      <c r="G90" s="149"/>
      <c r="H90" s="149"/>
      <c r="I90" s="149"/>
      <c r="J90" s="149"/>
      <c r="K90" s="149"/>
      <c r="L90" s="149"/>
      <c r="M90" s="149"/>
      <c r="N90" s="149"/>
      <c r="O90" s="149"/>
    </row>
    <row r="91" spans="1:16" s="219" customFormat="1" ht="35.1" customHeight="1" thickBot="1" x14ac:dyDescent="0.25">
      <c r="A91" s="373" t="s">
        <v>134</v>
      </c>
      <c r="B91" s="374"/>
      <c r="C91" s="374"/>
      <c r="D91" s="374"/>
      <c r="E91" s="374"/>
      <c r="F91" s="246"/>
      <c r="G91" s="246"/>
      <c r="H91" s="246"/>
      <c r="I91" s="246"/>
      <c r="J91" s="246"/>
      <c r="K91" s="246"/>
      <c r="L91" s="246"/>
      <c r="M91" s="246"/>
      <c r="N91" s="246"/>
      <c r="O91" s="246"/>
    </row>
    <row r="92" spans="1:16" s="148" customFormat="1" ht="35.1" customHeight="1" x14ac:dyDescent="0.2">
      <c r="A92" s="237">
        <f>+A88+1</f>
        <v>45</v>
      </c>
      <c r="B92" s="244" t="s">
        <v>49</v>
      </c>
      <c r="C92" s="237" t="s">
        <v>336</v>
      </c>
      <c r="D92" s="256" t="s">
        <v>157</v>
      </c>
      <c r="E92" s="238" t="s">
        <v>97</v>
      </c>
      <c r="F92" s="69">
        <v>155250</v>
      </c>
      <c r="G92" s="69">
        <v>4455.6750000000002</v>
      </c>
      <c r="H92" s="68">
        <f>+F92*3.04%</f>
        <v>4719.6000000000004</v>
      </c>
      <c r="I92" s="216">
        <v>0</v>
      </c>
      <c r="J92" s="69">
        <f>+G92+H92+I92</f>
        <v>9175.2750000000015</v>
      </c>
      <c r="K92" s="69">
        <f>+F92-J92</f>
        <v>146074.72500000001</v>
      </c>
      <c r="L92" s="215">
        <f>+IF(K92*12&lt;=416220.01,0,IF(K92*12&lt;=624329.01,(((K92*12-416220.01)*0.15)/12),IF((K92*12&lt;=867123.01),(31216+0.2*(K92*12-624329.01))/12,((79776+0.25*(K92*12-867123.01))/12))))</f>
        <v>25101.61854166667</v>
      </c>
      <c r="M92" s="234">
        <v>22959.73</v>
      </c>
      <c r="N92" s="215">
        <f>+M92+I92+H92+G92+L92</f>
        <v>57236.623541666675</v>
      </c>
      <c r="O92" s="84">
        <f>+F92-N92</f>
        <v>98013.376458333325</v>
      </c>
      <c r="P92" s="219"/>
    </row>
    <row r="93" spans="1:16" s="148" customFormat="1" ht="35.1" customHeight="1" x14ac:dyDescent="0.2">
      <c r="A93" s="223" t="s">
        <v>99</v>
      </c>
      <c r="B93" s="224"/>
      <c r="C93" s="224"/>
      <c r="D93" s="224"/>
      <c r="E93" s="239"/>
      <c r="F93" s="225">
        <f t="shared" ref="F93:L93" si="26">SUM(F92:F92)</f>
        <v>155250</v>
      </c>
      <c r="G93" s="225">
        <f t="shared" si="26"/>
        <v>4455.6750000000002</v>
      </c>
      <c r="H93" s="225">
        <f t="shared" si="26"/>
        <v>4719.6000000000004</v>
      </c>
      <c r="I93" s="225">
        <f t="shared" si="26"/>
        <v>0</v>
      </c>
      <c r="J93" s="225">
        <f t="shared" si="26"/>
        <v>9175.2750000000015</v>
      </c>
      <c r="K93" s="225">
        <f t="shared" si="26"/>
        <v>146074.72500000001</v>
      </c>
      <c r="L93" s="225">
        <f t="shared" si="26"/>
        <v>25101.61854166667</v>
      </c>
      <c r="M93" s="225">
        <f>SUM(M92:M92)</f>
        <v>22959.73</v>
      </c>
      <c r="N93" s="225">
        <f>SUM(N92:N92)</f>
        <v>57236.623541666675</v>
      </c>
      <c r="O93" s="225">
        <f>SUM(O92:O92)</f>
        <v>98013.376458333325</v>
      </c>
      <c r="P93" s="219"/>
    </row>
    <row r="94" spans="1:16" s="148" customFormat="1" ht="35.1" customHeight="1" thickBot="1" x14ac:dyDescent="0.25">
      <c r="A94" s="218"/>
      <c r="B94" s="218"/>
      <c r="C94" s="243"/>
      <c r="D94" s="218"/>
      <c r="E94" s="218"/>
      <c r="F94" s="218"/>
      <c r="G94" s="218"/>
      <c r="H94" s="218"/>
      <c r="I94" s="218"/>
      <c r="J94" s="218"/>
      <c r="K94" s="218"/>
      <c r="L94" s="218"/>
      <c r="M94" s="218"/>
      <c r="N94" s="218"/>
      <c r="O94" s="218"/>
      <c r="P94" s="219"/>
    </row>
    <row r="95" spans="1:16" s="252" customFormat="1" ht="35.1" customHeight="1" thickBot="1" x14ac:dyDescent="0.25">
      <c r="A95" s="373" t="s">
        <v>136</v>
      </c>
      <c r="B95" s="374"/>
      <c r="C95" s="374"/>
      <c r="D95" s="374"/>
      <c r="E95" s="374"/>
      <c r="F95" s="246"/>
      <c r="G95" s="246"/>
      <c r="H95" s="246"/>
      <c r="I95" s="246"/>
      <c r="J95" s="246"/>
      <c r="K95" s="246"/>
      <c r="L95" s="246"/>
      <c r="M95" s="246"/>
      <c r="N95" s="246"/>
      <c r="O95" s="246"/>
    </row>
    <row r="96" spans="1:16" s="219" customFormat="1" ht="35.1" customHeight="1" x14ac:dyDescent="0.2">
      <c r="A96" s="213">
        <f>+A92+1</f>
        <v>46</v>
      </c>
      <c r="B96" s="214" t="s">
        <v>216</v>
      </c>
      <c r="C96" s="213" t="s">
        <v>335</v>
      </c>
      <c r="D96" s="222" t="s">
        <v>580</v>
      </c>
      <c r="E96" s="214" t="s">
        <v>96</v>
      </c>
      <c r="F96" s="215">
        <v>100000</v>
      </c>
      <c r="G96" s="68">
        <f>F96*2.87%</f>
        <v>2870</v>
      </c>
      <c r="H96" s="216">
        <f>+F96*3.04%</f>
        <v>3040</v>
      </c>
      <c r="I96" s="216"/>
      <c r="J96" s="215">
        <f>+G96+H96+I96</f>
        <v>5910</v>
      </c>
      <c r="K96" s="215">
        <f>+F96-J96</f>
        <v>94090</v>
      </c>
      <c r="L96" s="215">
        <f t="shared" ref="L96:L99" si="27">+IF(K96*12&lt;=416220.01,0,IF(K96*12&lt;=624329.01,(((K96*12-416220.01)*0.15)/12),IF((K96*12&lt;=867123.01),(31216+0.2*(K96*12-624329.01))/12,((79776+0.25*(K96*12-867123.01))/12))))</f>
        <v>12105.437291666667</v>
      </c>
      <c r="M96" s="221">
        <v>10534.55</v>
      </c>
      <c r="N96" s="215">
        <f>+M96+I96+H96+G96+L96</f>
        <v>28549.987291666665</v>
      </c>
      <c r="O96" s="217">
        <f>+F96-N96</f>
        <v>71450.012708333335</v>
      </c>
    </row>
    <row r="97" spans="1:16" s="148" customFormat="1" ht="35.1" customHeight="1" x14ac:dyDescent="0.2">
      <c r="A97" s="213">
        <f>+A96+1</f>
        <v>47</v>
      </c>
      <c r="B97" s="214" t="s">
        <v>218</v>
      </c>
      <c r="C97" s="213" t="s">
        <v>336</v>
      </c>
      <c r="D97" s="222" t="s">
        <v>580</v>
      </c>
      <c r="E97" s="214" t="s">
        <v>96</v>
      </c>
      <c r="F97" s="215">
        <v>95000</v>
      </c>
      <c r="G97" s="216">
        <f>F97*2.87%</f>
        <v>2726.5</v>
      </c>
      <c r="H97" s="216">
        <f>+F97*3.04%</f>
        <v>2888</v>
      </c>
      <c r="I97" s="216"/>
      <c r="J97" s="215">
        <f>+G97+H97+I97</f>
        <v>5614.5</v>
      </c>
      <c r="K97" s="215">
        <f>+F97-J97</f>
        <v>89385.5</v>
      </c>
      <c r="L97" s="215">
        <f t="shared" si="27"/>
        <v>10929.312291666667</v>
      </c>
      <c r="M97" s="221">
        <v>225</v>
      </c>
      <c r="N97" s="215">
        <f>+M97+I97+H97+G97+L97</f>
        <v>16768.812291666669</v>
      </c>
      <c r="O97" s="217">
        <f>+F97-N97</f>
        <v>78231.187708333338</v>
      </c>
      <c r="P97" s="219"/>
    </row>
    <row r="98" spans="1:16" ht="35.1" customHeight="1" x14ac:dyDescent="0.2">
      <c r="A98" s="213">
        <f>+A97+1</f>
        <v>48</v>
      </c>
      <c r="B98" s="214" t="s">
        <v>113</v>
      </c>
      <c r="C98" s="213" t="s">
        <v>336</v>
      </c>
      <c r="D98" s="222" t="s">
        <v>580</v>
      </c>
      <c r="E98" s="214" t="s">
        <v>96</v>
      </c>
      <c r="F98" s="215">
        <v>90000</v>
      </c>
      <c r="G98" s="216">
        <f>F98*2.87%</f>
        <v>2583</v>
      </c>
      <c r="H98" s="216">
        <f>+F98*3.04%</f>
        <v>2736</v>
      </c>
      <c r="I98" s="216"/>
      <c r="J98" s="215">
        <f>+G98+H98+I98</f>
        <v>5319</v>
      </c>
      <c r="K98" s="215">
        <f>+F98-J98</f>
        <v>84681</v>
      </c>
      <c r="L98" s="215">
        <f t="shared" si="27"/>
        <v>9753.1872916666671</v>
      </c>
      <c r="M98" s="234">
        <v>225</v>
      </c>
      <c r="N98" s="215">
        <f>+M98+I98+H98+G98+L98</f>
        <v>15297.187291666667</v>
      </c>
      <c r="O98" s="217">
        <f>+F98-N98</f>
        <v>74702.812708333338</v>
      </c>
    </row>
    <row r="99" spans="1:16" s="148" customFormat="1" ht="35.1" customHeight="1" x14ac:dyDescent="0.2">
      <c r="A99" s="213">
        <f>+A98+1</f>
        <v>49</v>
      </c>
      <c r="B99" s="72" t="s">
        <v>34</v>
      </c>
      <c r="C99" s="73" t="s">
        <v>336</v>
      </c>
      <c r="D99" s="72" t="s">
        <v>580</v>
      </c>
      <c r="E99" s="72" t="s">
        <v>165</v>
      </c>
      <c r="F99" s="216">
        <v>90000</v>
      </c>
      <c r="G99" s="68">
        <f>+F99*2.87%</f>
        <v>2583</v>
      </c>
      <c r="H99" s="68">
        <f>+F99*3.04%</f>
        <v>2736</v>
      </c>
      <c r="I99" s="68"/>
      <c r="J99" s="69">
        <f>+G99+H99+I99</f>
        <v>5319</v>
      </c>
      <c r="K99" s="69">
        <f>+F99-J99</f>
        <v>84681</v>
      </c>
      <c r="L99" s="215">
        <f t="shared" si="27"/>
        <v>9753.1872916666671</v>
      </c>
      <c r="M99" s="221">
        <v>225</v>
      </c>
      <c r="N99" s="215">
        <f>+M99+I99+H99+G99+L99</f>
        <v>15297.187291666667</v>
      </c>
      <c r="O99" s="234">
        <f>+F99-N99</f>
        <v>74702.812708333338</v>
      </c>
      <c r="P99" s="219"/>
    </row>
    <row r="100" spans="1:16" s="148" customFormat="1" ht="35.1" customHeight="1" x14ac:dyDescent="0.2">
      <c r="A100" s="213">
        <f>+A99+1</f>
        <v>50</v>
      </c>
      <c r="B100" s="72" t="s">
        <v>593</v>
      </c>
      <c r="C100" s="300" t="s">
        <v>335</v>
      </c>
      <c r="D100" s="72" t="s">
        <v>580</v>
      </c>
      <c r="E100" s="263" t="s">
        <v>97</v>
      </c>
      <c r="F100" s="216">
        <v>80000</v>
      </c>
      <c r="G100" s="68">
        <f>+F100*2.87%</f>
        <v>2296</v>
      </c>
      <c r="H100" s="68">
        <f>+F100*3.04%</f>
        <v>2432</v>
      </c>
      <c r="I100" s="68"/>
      <c r="J100" s="69">
        <f>+G100+H100+I100</f>
        <v>4728</v>
      </c>
      <c r="K100" s="69">
        <f>+F100-J100</f>
        <v>75272</v>
      </c>
      <c r="L100" s="215">
        <v>0</v>
      </c>
      <c r="M100" s="221">
        <v>12910.79</v>
      </c>
      <c r="N100" s="215">
        <f>+M100+I100+H100+G100+L100</f>
        <v>17638.79</v>
      </c>
      <c r="O100" s="234">
        <f>+F100-N100</f>
        <v>62361.21</v>
      </c>
      <c r="P100" s="219"/>
    </row>
    <row r="101" spans="1:16" s="219" customFormat="1" ht="35.1" customHeight="1" x14ac:dyDescent="0.2">
      <c r="A101" s="73"/>
      <c r="B101" s="257"/>
      <c r="C101" s="258"/>
      <c r="D101" s="223" t="s">
        <v>99</v>
      </c>
      <c r="E101" s="239"/>
      <c r="F101" s="225">
        <f>SUM(F96:F100)</f>
        <v>455000</v>
      </c>
      <c r="G101" s="225">
        <f t="shared" ref="G101:L101" si="28">SUM(G96:G99)</f>
        <v>10762.5</v>
      </c>
      <c r="H101" s="225">
        <f>SUM(H96:H100)</f>
        <v>13832</v>
      </c>
      <c r="I101" s="225">
        <f t="shared" si="28"/>
        <v>0</v>
      </c>
      <c r="J101" s="225">
        <f t="shared" si="28"/>
        <v>22162.5</v>
      </c>
      <c r="K101" s="225">
        <f t="shared" si="28"/>
        <v>352837.5</v>
      </c>
      <c r="L101" s="225">
        <f t="shared" si="28"/>
        <v>42541.124166666668</v>
      </c>
      <c r="M101" s="225">
        <f>SUM(M96:M100)</f>
        <v>24120.34</v>
      </c>
      <c r="N101" s="225">
        <f>SUM(N96:N100)</f>
        <v>93551.964166666672</v>
      </c>
      <c r="O101" s="225">
        <f>SUM(O96:O100)</f>
        <v>361448.03583333339</v>
      </c>
    </row>
    <row r="102" spans="1:16" s="219" customFormat="1" ht="35.1" customHeight="1" thickBot="1" x14ac:dyDescent="0.25">
      <c r="A102" s="203"/>
      <c r="B102" s="147"/>
      <c r="C102" s="203"/>
      <c r="D102" s="228"/>
      <c r="E102" s="147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</row>
    <row r="103" spans="1:16" s="148" customFormat="1" ht="35.1" customHeight="1" thickBot="1" x14ac:dyDescent="0.25">
      <c r="A103" s="373" t="s">
        <v>137</v>
      </c>
      <c r="B103" s="374"/>
      <c r="C103" s="374"/>
      <c r="D103" s="374"/>
      <c r="E103" s="374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19"/>
    </row>
    <row r="104" spans="1:16" s="219" customFormat="1" ht="35.1" customHeight="1" x14ac:dyDescent="0.2">
      <c r="A104" s="235">
        <f>+A100+1</f>
        <v>51</v>
      </c>
      <c r="B104" s="72" t="s">
        <v>465</v>
      </c>
      <c r="C104" s="73" t="s">
        <v>335</v>
      </c>
      <c r="D104" s="233" t="s">
        <v>466</v>
      </c>
      <c r="E104" s="238" t="s">
        <v>97</v>
      </c>
      <c r="F104" s="68">
        <v>190000</v>
      </c>
      <c r="G104" s="68">
        <f>F104*2.87%</f>
        <v>5453</v>
      </c>
      <c r="H104" s="68">
        <v>5776</v>
      </c>
      <c r="I104" s="68"/>
      <c r="J104" s="69">
        <f>+G104+H104+I104</f>
        <v>11229</v>
      </c>
      <c r="K104" s="69">
        <f>+F104-J104</f>
        <v>178771</v>
      </c>
      <c r="L104" s="69">
        <f t="shared" ref="L104:L105" si="29">+IF(K104*12&lt;=416220.01,0,IF(K104*12&lt;=624329.01,(((K104*12-416220.01)*0.15)/12),IF((K104*12&lt;=867123.01),(31216+0.2*(K104*12-624329.01))/12,((79776+0.25*(K104*12-867123.01))/12))))</f>
        <v>33275.687291666669</v>
      </c>
      <c r="M104" s="234">
        <v>25</v>
      </c>
      <c r="N104" s="215">
        <f>+M104+I104+H104+G104+L104</f>
        <v>44529.687291666669</v>
      </c>
      <c r="O104" s="84">
        <f>+F104-N104</f>
        <v>145470.31270833334</v>
      </c>
    </row>
    <row r="105" spans="1:16" s="219" customFormat="1" ht="35.1" customHeight="1" x14ac:dyDescent="0.2">
      <c r="A105" s="235">
        <f>+A104+1</f>
        <v>52</v>
      </c>
      <c r="B105" s="72" t="s">
        <v>57</v>
      </c>
      <c r="C105" s="73" t="s">
        <v>335</v>
      </c>
      <c r="D105" s="233" t="s">
        <v>428</v>
      </c>
      <c r="E105" s="238" t="s">
        <v>97</v>
      </c>
      <c r="F105" s="68">
        <v>115000</v>
      </c>
      <c r="G105" s="68">
        <f>F105*2.87%</f>
        <v>3300.5</v>
      </c>
      <c r="H105" s="68">
        <f>+F105*3.04%</f>
        <v>3496</v>
      </c>
      <c r="I105" s="68">
        <v>0</v>
      </c>
      <c r="J105" s="69">
        <f>+G105+H105+I105</f>
        <v>6796.5</v>
      </c>
      <c r="K105" s="69">
        <f>+F105-J105</f>
        <v>108203.5</v>
      </c>
      <c r="L105" s="69">
        <f t="shared" si="29"/>
        <v>15633.812291666667</v>
      </c>
      <c r="M105" s="234">
        <v>12663.37</v>
      </c>
      <c r="N105" s="215">
        <f>+M105+I105+H105+G105+L105</f>
        <v>35093.682291666672</v>
      </c>
      <c r="O105" s="84">
        <f>+F105-N105</f>
        <v>79906.317708333328</v>
      </c>
    </row>
    <row r="106" spans="1:16" s="98" customFormat="1" ht="35.1" customHeight="1" x14ac:dyDescent="0.2">
      <c r="A106" s="223" t="s">
        <v>99</v>
      </c>
      <c r="B106" s="224"/>
      <c r="C106" s="224"/>
      <c r="D106" s="224"/>
      <c r="E106" s="239"/>
      <c r="F106" s="225">
        <f t="shared" ref="F106:L106" si="30">SUM(F104:F105)</f>
        <v>305000</v>
      </c>
      <c r="G106" s="225">
        <f t="shared" si="30"/>
        <v>8753.5</v>
      </c>
      <c r="H106" s="225">
        <f t="shared" si="30"/>
        <v>9272</v>
      </c>
      <c r="I106" s="225">
        <f t="shared" si="30"/>
        <v>0</v>
      </c>
      <c r="J106" s="225">
        <f t="shared" si="30"/>
        <v>18025.5</v>
      </c>
      <c r="K106" s="225">
        <f t="shared" si="30"/>
        <v>286974.5</v>
      </c>
      <c r="L106" s="225">
        <f t="shared" si="30"/>
        <v>48909.499583333338</v>
      </c>
      <c r="M106" s="225">
        <f>SUM(M104:M105)</f>
        <v>12688.37</v>
      </c>
      <c r="N106" s="225">
        <f>SUM(N104:N105)</f>
        <v>79623.369583333348</v>
      </c>
      <c r="O106" s="225">
        <f>SUM(O104:O105)</f>
        <v>225376.63041666668</v>
      </c>
    </row>
    <row r="107" spans="1:16" s="148" customFormat="1" ht="42.75" customHeight="1" thickBot="1" x14ac:dyDescent="0.25">
      <c r="A107" s="227"/>
      <c r="B107" s="260"/>
      <c r="C107" s="261"/>
      <c r="D107" s="260"/>
      <c r="E107" s="260"/>
      <c r="F107" s="262"/>
      <c r="P107" s="219"/>
    </row>
    <row r="108" spans="1:16" s="242" customFormat="1" ht="35.1" customHeight="1" thickBot="1" x14ac:dyDescent="0.25">
      <c r="A108" s="373" t="s">
        <v>138</v>
      </c>
      <c r="B108" s="374"/>
      <c r="C108" s="374"/>
      <c r="D108" s="374"/>
      <c r="E108" s="374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</row>
    <row r="109" spans="1:16" s="219" customFormat="1" ht="35.1" customHeight="1" x14ac:dyDescent="0.2">
      <c r="A109" s="235">
        <f>+A105+1</f>
        <v>53</v>
      </c>
      <c r="B109" s="72" t="s">
        <v>220</v>
      </c>
      <c r="C109" s="73" t="s">
        <v>336</v>
      </c>
      <c r="D109" s="233" t="s">
        <v>580</v>
      </c>
      <c r="E109" s="72" t="s">
        <v>97</v>
      </c>
      <c r="F109" s="216">
        <v>95000</v>
      </c>
      <c r="G109" s="216">
        <f>F109*2.87%</f>
        <v>2726.5</v>
      </c>
      <c r="H109" s="216">
        <f>+F109*3.04%</f>
        <v>2888</v>
      </c>
      <c r="I109" s="216"/>
      <c r="J109" s="215">
        <f>+G109+H109+I109</f>
        <v>5614.5</v>
      </c>
      <c r="K109" s="215">
        <f>+F109-J109</f>
        <v>89385.5</v>
      </c>
      <c r="L109" s="69">
        <f t="shared" ref="L109:L112" si="31">+IF(K109*12&lt;=416220.01,0,IF(K109*12&lt;=624329.01,(((K109*12-416220.01)*0.15)/12),IF((K109*12&lt;=867123.01),(31216+0.2*(K109*12-624329.01))/12,((79776+0.25*(K109*12-867123.01))/12))))</f>
        <v>10929.312291666667</v>
      </c>
      <c r="M109" s="215">
        <v>23740.03</v>
      </c>
      <c r="N109" s="215">
        <f>+M109+I109+H109+G109+L109</f>
        <v>40283.842291666668</v>
      </c>
      <c r="O109" s="217">
        <f>+F109-N109</f>
        <v>54716.157708333332</v>
      </c>
    </row>
    <row r="110" spans="1:16" s="219" customFormat="1" ht="35.1" customHeight="1" x14ac:dyDescent="0.2">
      <c r="A110" s="235">
        <f>+A109+1</f>
        <v>54</v>
      </c>
      <c r="B110" s="72" t="s">
        <v>48</v>
      </c>
      <c r="C110" s="73" t="s">
        <v>336</v>
      </c>
      <c r="D110" s="233" t="s">
        <v>580</v>
      </c>
      <c r="E110" s="72" t="s">
        <v>96</v>
      </c>
      <c r="F110" s="216">
        <v>85000</v>
      </c>
      <c r="G110" s="69">
        <f>F110*2.87%</f>
        <v>2439.5</v>
      </c>
      <c r="H110" s="69">
        <f>+F110*3.04%</f>
        <v>2584</v>
      </c>
      <c r="I110" s="69"/>
      <c r="J110" s="69">
        <f>+G110+H110+I110</f>
        <v>5023.5</v>
      </c>
      <c r="K110" s="69">
        <f>+F110-J110</f>
        <v>79976.5</v>
      </c>
      <c r="L110" s="69">
        <f t="shared" si="31"/>
        <v>8577.0622916666671</v>
      </c>
      <c r="M110" s="69">
        <v>16026.67</v>
      </c>
      <c r="N110" s="69">
        <f>+M110+I110+H110+G110+L110</f>
        <v>29627.232291666667</v>
      </c>
      <c r="O110" s="217">
        <f>+F110-N110</f>
        <v>55372.767708333333</v>
      </c>
    </row>
    <row r="111" spans="1:16" s="219" customFormat="1" ht="35.1" customHeight="1" x14ac:dyDescent="0.2">
      <c r="A111" s="73">
        <f>+A110+1</f>
        <v>55</v>
      </c>
      <c r="B111" s="72" t="s">
        <v>226</v>
      </c>
      <c r="C111" s="73" t="s">
        <v>335</v>
      </c>
      <c r="D111" s="233" t="s">
        <v>580</v>
      </c>
      <c r="E111" s="72" t="s">
        <v>96</v>
      </c>
      <c r="F111" s="216">
        <v>80000</v>
      </c>
      <c r="G111" s="216">
        <f>F111*2.87%</f>
        <v>2296</v>
      </c>
      <c r="H111" s="216">
        <f>+F111*3.04%</f>
        <v>2432</v>
      </c>
      <c r="I111" s="216"/>
      <c r="J111" s="215">
        <f>+G111+H111+I111</f>
        <v>4728</v>
      </c>
      <c r="K111" s="215">
        <f>+F111-J111</f>
        <v>75272</v>
      </c>
      <c r="L111" s="69">
        <f t="shared" si="31"/>
        <v>7400.9372916666662</v>
      </c>
      <c r="M111" s="221">
        <v>25</v>
      </c>
      <c r="N111" s="215">
        <f>+M111+I111+H111+G111+L111</f>
        <v>12153.937291666665</v>
      </c>
      <c r="O111" s="217">
        <f>+F111-N111</f>
        <v>67846.062708333338</v>
      </c>
    </row>
    <row r="112" spans="1:16" s="219" customFormat="1" ht="35.1" customHeight="1" x14ac:dyDescent="0.2">
      <c r="A112" s="73">
        <f>+A111+1</f>
        <v>56</v>
      </c>
      <c r="B112" s="72" t="s">
        <v>38</v>
      </c>
      <c r="C112" s="73" t="s">
        <v>584</v>
      </c>
      <c r="D112" s="233" t="s">
        <v>580</v>
      </c>
      <c r="E112" s="72" t="s">
        <v>96</v>
      </c>
      <c r="F112" s="216">
        <v>95000</v>
      </c>
      <c r="G112" s="216">
        <f>F112*2.87%</f>
        <v>2726.5</v>
      </c>
      <c r="H112" s="216">
        <f>+F112*3.04%</f>
        <v>2888</v>
      </c>
      <c r="I112" s="216"/>
      <c r="J112" s="215">
        <f>+G112+H112+I112</f>
        <v>5614.5</v>
      </c>
      <c r="K112" s="215">
        <f>+F112-J112</f>
        <v>89385.5</v>
      </c>
      <c r="L112" s="69">
        <f t="shared" si="31"/>
        <v>10929.312291666667</v>
      </c>
      <c r="M112" s="221">
        <v>4821.12</v>
      </c>
      <c r="N112" s="215">
        <f>+M112+I112+H112+G112+L112</f>
        <v>21364.932291666664</v>
      </c>
      <c r="O112" s="217">
        <f>+F112-N112</f>
        <v>73635.067708333343</v>
      </c>
    </row>
    <row r="113" spans="1:16" s="219" customFormat="1" ht="35.1" customHeight="1" thickBot="1" x14ac:dyDescent="0.25">
      <c r="A113" s="223" t="s">
        <v>99</v>
      </c>
      <c r="B113" s="224"/>
      <c r="C113" s="224"/>
      <c r="D113" s="224"/>
      <c r="E113" s="239"/>
      <c r="F113" s="225">
        <f>SUM(F109:F112)</f>
        <v>355000</v>
      </c>
      <c r="G113" s="225">
        <f t="shared" ref="G113:N113" si="32">SUM(G109:G112)</f>
        <v>10188.5</v>
      </c>
      <c r="H113" s="225">
        <f t="shared" si="32"/>
        <v>10792</v>
      </c>
      <c r="I113" s="225">
        <f t="shared" si="32"/>
        <v>0</v>
      </c>
      <c r="J113" s="225">
        <f t="shared" si="32"/>
        <v>20980.5</v>
      </c>
      <c r="K113" s="225">
        <f t="shared" si="32"/>
        <v>334019.5</v>
      </c>
      <c r="L113" s="225">
        <f t="shared" si="32"/>
        <v>37836.624166666668</v>
      </c>
      <c r="M113" s="225">
        <f>SUM(M109:M112)</f>
        <v>44612.82</v>
      </c>
      <c r="N113" s="225">
        <f t="shared" si="32"/>
        <v>103429.94416666665</v>
      </c>
      <c r="O113" s="225">
        <f>SUM(O109:O112)</f>
        <v>251570.05583333335</v>
      </c>
    </row>
    <row r="114" spans="1:16" s="240" customFormat="1" ht="35.1" customHeight="1" thickBot="1" x14ac:dyDescent="0.25">
      <c r="A114" s="373" t="s">
        <v>139</v>
      </c>
      <c r="B114" s="374"/>
      <c r="C114" s="374"/>
      <c r="D114" s="374"/>
      <c r="E114" s="374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52"/>
    </row>
    <row r="115" spans="1:16" s="148" customFormat="1" ht="35.1" customHeight="1" x14ac:dyDescent="0.2">
      <c r="A115" s="73">
        <f>+A112+1</f>
        <v>57</v>
      </c>
      <c r="B115" s="72" t="s">
        <v>391</v>
      </c>
      <c r="C115" s="73" t="s">
        <v>335</v>
      </c>
      <c r="D115" s="233" t="s">
        <v>580</v>
      </c>
      <c r="E115" s="72" t="s">
        <v>97</v>
      </c>
      <c r="F115" s="216">
        <v>95000</v>
      </c>
      <c r="G115" s="216">
        <f>F115*2.87%</f>
        <v>2726.5</v>
      </c>
      <c r="H115" s="68">
        <f>+F115*3.04%</f>
        <v>2888</v>
      </c>
      <c r="I115" s="68"/>
      <c r="J115" s="69">
        <f>+G115+H115+I115</f>
        <v>5614.5</v>
      </c>
      <c r="K115" s="69">
        <f>+F115-J115</f>
        <v>89385.5</v>
      </c>
      <c r="L115" s="69">
        <f t="shared" ref="L115:L118" si="33">+IF(K115*12&lt;=416220.01,0,IF(K115*12&lt;=624329.01,(((K115*12-416220.01)*0.15)/12),IF((K115*12&lt;=867123.01),(31216+0.2*(K115*12-624329.01))/12,((79776+0.25*(K115*12-867123.01))/12))))</f>
        <v>10929.312291666667</v>
      </c>
      <c r="M115" s="215">
        <v>16912.96</v>
      </c>
      <c r="N115" s="215">
        <f>+M115+I115+H115+G115+L115</f>
        <v>33456.772291666668</v>
      </c>
      <c r="O115" s="84">
        <f>+F115-N115</f>
        <v>61543.227708333332</v>
      </c>
      <c r="P115" s="219"/>
    </row>
    <row r="116" spans="1:16" s="148" customFormat="1" ht="35.1" customHeight="1" x14ac:dyDescent="0.2">
      <c r="A116" s="73">
        <f>+A115+1</f>
        <v>58</v>
      </c>
      <c r="B116" s="72" t="s">
        <v>479</v>
      </c>
      <c r="C116" s="73" t="s">
        <v>336</v>
      </c>
      <c r="D116" s="233" t="s">
        <v>580</v>
      </c>
      <c r="E116" s="72" t="s">
        <v>97</v>
      </c>
      <c r="F116" s="216">
        <v>95000</v>
      </c>
      <c r="G116" s="216">
        <f>F116*2.87%</f>
        <v>2726.5</v>
      </c>
      <c r="H116" s="68">
        <f>+F116*3.04%</f>
        <v>2888</v>
      </c>
      <c r="I116" s="68"/>
      <c r="J116" s="69">
        <f>+G116+H116+I116</f>
        <v>5614.5</v>
      </c>
      <c r="K116" s="69">
        <f>+F116-J116</f>
        <v>89385.5</v>
      </c>
      <c r="L116" s="69">
        <f t="shared" si="33"/>
        <v>10929.312291666667</v>
      </c>
      <c r="M116" s="221">
        <v>6177.9</v>
      </c>
      <c r="N116" s="215">
        <f>+M116+I116+H116+G116+L116</f>
        <v>22721.712291666667</v>
      </c>
      <c r="O116" s="84">
        <f>+F116-N116</f>
        <v>72278.28770833333</v>
      </c>
      <c r="P116" s="219"/>
    </row>
    <row r="117" spans="1:16" s="148" customFormat="1" ht="35.1" customHeight="1" x14ac:dyDescent="0.2">
      <c r="A117" s="73">
        <f>+A116+1</f>
        <v>59</v>
      </c>
      <c r="B117" s="72" t="s">
        <v>230</v>
      </c>
      <c r="C117" s="73" t="s">
        <v>336</v>
      </c>
      <c r="D117" s="233" t="s">
        <v>580</v>
      </c>
      <c r="E117" s="72" t="s">
        <v>97</v>
      </c>
      <c r="F117" s="216">
        <v>95000</v>
      </c>
      <c r="G117" s="216">
        <f>F117*2.87%</f>
        <v>2726.5</v>
      </c>
      <c r="H117" s="68">
        <f>+F117*3.04%</f>
        <v>2888</v>
      </c>
      <c r="I117" s="68"/>
      <c r="J117" s="69">
        <f>+G117+H117+I117</f>
        <v>5614.5</v>
      </c>
      <c r="K117" s="69">
        <f>+F117-J117</f>
        <v>89385.5</v>
      </c>
      <c r="L117" s="69">
        <f t="shared" si="33"/>
        <v>10929.312291666667</v>
      </c>
      <c r="M117" s="221">
        <v>1290.29</v>
      </c>
      <c r="N117" s="215">
        <f>+M117+I117+H117+G117+L117</f>
        <v>17834.102291666666</v>
      </c>
      <c r="O117" s="84">
        <f>+F117-N117</f>
        <v>77165.89770833333</v>
      </c>
      <c r="P117" s="219"/>
    </row>
    <row r="118" spans="1:16" s="240" customFormat="1" ht="35.1" customHeight="1" x14ac:dyDescent="0.2">
      <c r="A118" s="73">
        <f>+A117+1</f>
        <v>60</v>
      </c>
      <c r="B118" s="72" t="s">
        <v>163</v>
      </c>
      <c r="C118" s="73" t="s">
        <v>335</v>
      </c>
      <c r="D118" s="233" t="s">
        <v>580</v>
      </c>
      <c r="E118" s="72" t="s">
        <v>97</v>
      </c>
      <c r="F118" s="216">
        <v>80000</v>
      </c>
      <c r="G118" s="68">
        <v>2296</v>
      </c>
      <c r="H118" s="68">
        <v>2432</v>
      </c>
      <c r="I118" s="68">
        <v>1919.78</v>
      </c>
      <c r="J118" s="69">
        <f>+G118+H118+I118</f>
        <v>6647.78</v>
      </c>
      <c r="K118" s="69">
        <f>+F118-J118</f>
        <v>73352.22</v>
      </c>
      <c r="L118" s="69">
        <f t="shared" si="33"/>
        <v>6920.9922916666665</v>
      </c>
      <c r="M118" s="234">
        <v>38765.760000000002</v>
      </c>
      <c r="N118" s="215">
        <f>+M118+I118+H118+G118+L118</f>
        <v>52334.53229166667</v>
      </c>
      <c r="O118" s="84">
        <f>+F118-N118</f>
        <v>27665.46770833333</v>
      </c>
      <c r="P118" s="252"/>
    </row>
    <row r="119" spans="1:16" s="148" customFormat="1" ht="35.1" customHeight="1" x14ac:dyDescent="0.2">
      <c r="A119" s="223" t="s">
        <v>99</v>
      </c>
      <c r="B119" s="224"/>
      <c r="C119" s="224"/>
      <c r="D119" s="224"/>
      <c r="E119" s="239"/>
      <c r="F119" s="225">
        <f t="shared" ref="F119:L119" si="34">SUM(F115:F118)</f>
        <v>365000</v>
      </c>
      <c r="G119" s="225">
        <f t="shared" si="34"/>
        <v>10475.5</v>
      </c>
      <c r="H119" s="225">
        <f t="shared" si="34"/>
        <v>11096</v>
      </c>
      <c r="I119" s="225">
        <f t="shared" si="34"/>
        <v>1919.78</v>
      </c>
      <c r="J119" s="225">
        <f t="shared" si="34"/>
        <v>23491.279999999999</v>
      </c>
      <c r="K119" s="225">
        <f t="shared" si="34"/>
        <v>341508.72</v>
      </c>
      <c r="L119" s="225">
        <f t="shared" si="34"/>
        <v>39708.929166666669</v>
      </c>
      <c r="M119" s="225">
        <f>SUM(M115:M118)</f>
        <v>63146.91</v>
      </c>
      <c r="N119" s="225">
        <f>SUM(N115:N118)</f>
        <v>126347.11916666667</v>
      </c>
      <c r="O119" s="225">
        <f>SUM(O115:O118)</f>
        <v>238652.88083333333</v>
      </c>
      <c r="P119" s="219"/>
    </row>
    <row r="120" spans="1:16" s="148" customFormat="1" ht="35.1" customHeight="1" thickBot="1" x14ac:dyDescent="0.25">
      <c r="A120" s="203"/>
      <c r="B120" s="147"/>
      <c r="C120" s="203"/>
      <c r="D120" s="147"/>
      <c r="E120" s="147"/>
      <c r="G120" s="149"/>
      <c r="H120" s="149"/>
      <c r="I120" s="149"/>
      <c r="J120" s="149"/>
      <c r="K120" s="149"/>
      <c r="L120" s="149"/>
      <c r="M120" s="149"/>
      <c r="N120" s="149"/>
      <c r="O120" s="149"/>
      <c r="P120" s="219"/>
    </row>
    <row r="121" spans="1:16" s="148" customFormat="1" ht="35.1" customHeight="1" thickBot="1" x14ac:dyDescent="0.25">
      <c r="A121" s="373" t="s">
        <v>140</v>
      </c>
      <c r="B121" s="374"/>
      <c r="C121" s="374"/>
      <c r="D121" s="374"/>
      <c r="E121" s="374"/>
      <c r="F121" s="246"/>
      <c r="G121" s="246"/>
      <c r="H121" s="246"/>
      <c r="I121" s="246"/>
      <c r="J121" s="246"/>
      <c r="K121" s="246"/>
      <c r="L121" s="246"/>
      <c r="M121" s="246"/>
      <c r="N121" s="246"/>
      <c r="O121" s="246"/>
      <c r="P121" s="219"/>
    </row>
    <row r="122" spans="1:16" s="148" customFormat="1" ht="35.1" customHeight="1" x14ac:dyDescent="0.2">
      <c r="A122" s="73">
        <f>+A118+1</f>
        <v>61</v>
      </c>
      <c r="B122" s="238" t="s">
        <v>4</v>
      </c>
      <c r="C122" s="235" t="s">
        <v>336</v>
      </c>
      <c r="D122" s="250" t="s">
        <v>580</v>
      </c>
      <c r="E122" s="238" t="s">
        <v>97</v>
      </c>
      <c r="F122" s="68">
        <v>95000</v>
      </c>
      <c r="G122" s="68">
        <f>F122*2.87%</f>
        <v>2726.5</v>
      </c>
      <c r="H122" s="68">
        <f>+F122*3.04%</f>
        <v>2888</v>
      </c>
      <c r="I122" s="216"/>
      <c r="J122" s="215">
        <f>+G122+H122+I122</f>
        <v>5614.5</v>
      </c>
      <c r="K122" s="215">
        <f>+F122-J122</f>
        <v>89385.5</v>
      </c>
      <c r="L122" s="215">
        <f t="shared" ref="L122" si="35">+IF(K122*12&lt;=416220.01,0,IF(K122*12&lt;=624329.01,(((K122*12-416220.01)*0.15)/12),IF((K122*12&lt;=867123.01),(31216+0.2*(K122*12-624329.01))/12,((79776+0.25*(K122*12-867123.01))/12))))</f>
        <v>10929.312291666667</v>
      </c>
      <c r="M122" s="217">
        <v>21095.19</v>
      </c>
      <c r="N122" s="215">
        <f>+M122+I122+H122+G122+L122</f>
        <v>37639.002291666664</v>
      </c>
      <c r="O122" s="217">
        <f>+F122-N122</f>
        <v>57360.997708333336</v>
      </c>
      <c r="P122" s="219"/>
    </row>
    <row r="123" spans="1:16" s="148" customFormat="1" ht="35.1" customHeight="1" x14ac:dyDescent="0.2">
      <c r="A123" s="73">
        <f>+A122+1</f>
        <v>62</v>
      </c>
      <c r="B123" s="238" t="s">
        <v>225</v>
      </c>
      <c r="C123" s="235" t="s">
        <v>336</v>
      </c>
      <c r="D123" s="250" t="s">
        <v>580</v>
      </c>
      <c r="E123" s="238" t="s">
        <v>97</v>
      </c>
      <c r="F123" s="68">
        <v>95000</v>
      </c>
      <c r="G123" s="68">
        <f>F123*2.87%</f>
        <v>2726.5</v>
      </c>
      <c r="H123" s="68">
        <f>+F123*3.04%</f>
        <v>2888</v>
      </c>
      <c r="I123" s="216">
        <v>1919.78</v>
      </c>
      <c r="J123" s="215">
        <f>+G123+H123+I123</f>
        <v>7534.28</v>
      </c>
      <c r="K123" s="215">
        <f>+F123-J123</f>
        <v>87465.72</v>
      </c>
      <c r="L123" s="215">
        <v>5333.47</v>
      </c>
      <c r="M123" s="217">
        <v>225</v>
      </c>
      <c r="N123" s="215">
        <f>+M123+I123+H123+G123+L123</f>
        <v>13092.75</v>
      </c>
      <c r="O123" s="217">
        <f>+F123-N123</f>
        <v>81907.25</v>
      </c>
      <c r="P123" s="219"/>
    </row>
    <row r="124" spans="1:16" s="242" customFormat="1" ht="35.1" customHeight="1" x14ac:dyDescent="0.2">
      <c r="A124" s="73">
        <f>+A123+1</f>
        <v>63</v>
      </c>
      <c r="B124" s="72" t="s">
        <v>79</v>
      </c>
      <c r="C124" s="73" t="s">
        <v>336</v>
      </c>
      <c r="D124" s="233" t="s">
        <v>580</v>
      </c>
      <c r="E124" s="72" t="s">
        <v>96</v>
      </c>
      <c r="F124" s="216">
        <v>90000</v>
      </c>
      <c r="G124" s="216">
        <f>F124*2.87%</f>
        <v>2583</v>
      </c>
      <c r="H124" s="216">
        <f>+F124*3.04%</f>
        <v>2736</v>
      </c>
      <c r="I124" s="216"/>
      <c r="J124" s="215">
        <f>+G124+H124+I124</f>
        <v>5319</v>
      </c>
      <c r="K124" s="215">
        <f>+F124-J124</f>
        <v>84681</v>
      </c>
      <c r="L124" s="215">
        <v>9753.19</v>
      </c>
      <c r="M124" s="221">
        <v>265</v>
      </c>
      <c r="N124" s="215">
        <f>+M124+I124+H124+G124+L124</f>
        <v>15337.19</v>
      </c>
      <c r="O124" s="217">
        <f>+F124-N124</f>
        <v>74662.81</v>
      </c>
    </row>
    <row r="125" spans="1:16" s="148" customFormat="1" ht="35.1" customHeight="1" x14ac:dyDescent="0.2">
      <c r="A125" s="73">
        <f>+A124+1</f>
        <v>64</v>
      </c>
      <c r="B125" s="72" t="s">
        <v>223</v>
      </c>
      <c r="C125" s="73" t="s">
        <v>335</v>
      </c>
      <c r="D125" s="233" t="s">
        <v>580</v>
      </c>
      <c r="E125" s="72" t="s">
        <v>96</v>
      </c>
      <c r="F125" s="216">
        <v>90000</v>
      </c>
      <c r="G125" s="216">
        <f>F125*2.87%</f>
        <v>2583</v>
      </c>
      <c r="H125" s="216">
        <f>+F125*3.04%</f>
        <v>2736</v>
      </c>
      <c r="I125" s="216">
        <f>1919.78*2</f>
        <v>3839.56</v>
      </c>
      <c r="J125" s="215">
        <f>+G125+H125+I125</f>
        <v>9158.56</v>
      </c>
      <c r="K125" s="215">
        <f>+F125-J125</f>
        <v>80841.440000000002</v>
      </c>
      <c r="L125" s="215">
        <v>365.26</v>
      </c>
      <c r="M125" s="221">
        <v>225</v>
      </c>
      <c r="N125" s="215">
        <f>+M125+I125+H125+G125+L125</f>
        <v>9748.82</v>
      </c>
      <c r="O125" s="217">
        <f>+F125-N125</f>
        <v>80251.179999999993</v>
      </c>
      <c r="P125" s="219"/>
    </row>
    <row r="126" spans="1:16" s="219" customFormat="1" ht="35.1" customHeight="1" x14ac:dyDescent="0.2">
      <c r="A126" s="223" t="s">
        <v>99</v>
      </c>
      <c r="B126" s="224"/>
      <c r="C126" s="224"/>
      <c r="D126" s="224"/>
      <c r="E126" s="239"/>
      <c r="F126" s="225">
        <f>SUM(F122:F125)</f>
        <v>370000</v>
      </c>
      <c r="G126" s="225">
        <f t="shared" ref="G126:O126" si="36">SUM(G122:G125)</f>
        <v>10619</v>
      </c>
      <c r="H126" s="225">
        <f t="shared" si="36"/>
        <v>11248</v>
      </c>
      <c r="I126" s="225">
        <f t="shared" si="36"/>
        <v>5759.34</v>
      </c>
      <c r="J126" s="225">
        <f t="shared" si="36"/>
        <v>27626.339999999997</v>
      </c>
      <c r="K126" s="225">
        <f t="shared" si="36"/>
        <v>342373.66000000003</v>
      </c>
      <c r="L126" s="225">
        <f>SUM(L122:L125)</f>
        <v>26381.232291666664</v>
      </c>
      <c r="M126" s="225">
        <f t="shared" si="36"/>
        <v>21810.19</v>
      </c>
      <c r="N126" s="225">
        <f t="shared" si="36"/>
        <v>75817.762291666673</v>
      </c>
      <c r="O126" s="225">
        <f t="shared" si="36"/>
        <v>294182.2377083333</v>
      </c>
    </row>
    <row r="127" spans="1:16" s="240" customFormat="1" ht="35.1" customHeight="1" thickBot="1" x14ac:dyDescent="0.25">
      <c r="A127" s="203"/>
      <c r="B127" s="147"/>
      <c r="C127" s="203"/>
      <c r="D127" s="147"/>
      <c r="E127" s="147"/>
      <c r="F127" s="148"/>
      <c r="G127" s="149"/>
      <c r="H127" s="149"/>
      <c r="I127" s="149"/>
      <c r="J127" s="149"/>
      <c r="K127" s="149"/>
      <c r="L127" s="149"/>
      <c r="M127" s="149"/>
      <c r="N127" s="149"/>
      <c r="O127" s="149"/>
      <c r="P127" s="252"/>
    </row>
    <row r="128" spans="1:16" s="148" customFormat="1" ht="35.1" customHeight="1" thickBot="1" x14ac:dyDescent="0.25">
      <c r="A128" s="373" t="s">
        <v>141</v>
      </c>
      <c r="B128" s="374"/>
      <c r="C128" s="374"/>
      <c r="D128" s="374"/>
      <c r="E128" s="374"/>
      <c r="F128" s="246"/>
      <c r="G128" s="246"/>
      <c r="H128" s="246"/>
      <c r="I128" s="246"/>
      <c r="J128" s="246"/>
      <c r="K128" s="246"/>
      <c r="L128" s="246"/>
      <c r="M128" s="246"/>
      <c r="N128" s="246"/>
      <c r="O128" s="246"/>
      <c r="P128" s="219"/>
    </row>
    <row r="129" spans="1:16" s="219" customFormat="1" ht="35.1" customHeight="1" x14ac:dyDescent="0.2">
      <c r="A129" s="73">
        <f>+A125+1</f>
        <v>65</v>
      </c>
      <c r="B129" s="72" t="s">
        <v>43</v>
      </c>
      <c r="C129" s="73" t="s">
        <v>336</v>
      </c>
      <c r="D129" s="233" t="s">
        <v>580</v>
      </c>
      <c r="E129" s="72" t="s">
        <v>97</v>
      </c>
      <c r="F129" s="216">
        <v>95000</v>
      </c>
      <c r="G129" s="216">
        <f>F129*2.87%</f>
        <v>2726.5</v>
      </c>
      <c r="H129" s="216">
        <f>+F129*3.04%</f>
        <v>2888</v>
      </c>
      <c r="I129" s="68">
        <v>3839.56</v>
      </c>
      <c r="J129" s="215">
        <f>+G129+H129+I129</f>
        <v>9454.06</v>
      </c>
      <c r="K129" s="215">
        <f>+F129-J129</f>
        <v>85545.94</v>
      </c>
      <c r="L129" s="215">
        <v>3893.69</v>
      </c>
      <c r="M129" s="221">
        <v>6388.71</v>
      </c>
      <c r="N129" s="215">
        <f>+M129+I129+H129+G129+L129</f>
        <v>19736.46</v>
      </c>
      <c r="O129" s="217">
        <f>+F129-N129</f>
        <v>75263.540000000008</v>
      </c>
    </row>
    <row r="130" spans="1:16" s="219" customFormat="1" ht="35.1" customHeight="1" x14ac:dyDescent="0.2">
      <c r="A130" s="73">
        <f>+A129+1</f>
        <v>66</v>
      </c>
      <c r="B130" s="72" t="s">
        <v>224</v>
      </c>
      <c r="C130" s="73" t="s">
        <v>336</v>
      </c>
      <c r="D130" s="233" t="s">
        <v>580</v>
      </c>
      <c r="E130" s="72" t="s">
        <v>97</v>
      </c>
      <c r="F130" s="216">
        <v>90000</v>
      </c>
      <c r="G130" s="216">
        <f>F130*2.87%</f>
        <v>2583</v>
      </c>
      <c r="H130" s="216">
        <f>+F130*3.04%</f>
        <v>2736</v>
      </c>
      <c r="I130" s="68">
        <v>0</v>
      </c>
      <c r="J130" s="215">
        <f>+G130+H130+I130</f>
        <v>5319</v>
      </c>
      <c r="K130" s="215">
        <f>+F130-J130</f>
        <v>84681</v>
      </c>
      <c r="L130" s="215">
        <v>9753.19</v>
      </c>
      <c r="M130" s="221">
        <v>12415.18</v>
      </c>
      <c r="N130" s="215">
        <f>+M130+I130+H130+G130+L130</f>
        <v>27487.370000000003</v>
      </c>
      <c r="O130" s="217">
        <f>+F130-N130</f>
        <v>62512.63</v>
      </c>
    </row>
    <row r="131" spans="1:16" s="219" customFormat="1" ht="35.1" customHeight="1" x14ac:dyDescent="0.2">
      <c r="A131" s="223" t="s">
        <v>99</v>
      </c>
      <c r="B131" s="224"/>
      <c r="C131" s="224"/>
      <c r="D131" s="224"/>
      <c r="E131" s="239"/>
      <c r="F131" s="225">
        <f>SUM(F129:F130)</f>
        <v>185000</v>
      </c>
      <c r="G131" s="225">
        <f t="shared" ref="G131:O131" si="37">SUM(G129:G130)</f>
        <v>5309.5</v>
      </c>
      <c r="H131" s="225">
        <f t="shared" si="37"/>
        <v>5624</v>
      </c>
      <c r="I131" s="225">
        <f t="shared" si="37"/>
        <v>3839.56</v>
      </c>
      <c r="J131" s="225">
        <f t="shared" si="37"/>
        <v>14773.06</v>
      </c>
      <c r="K131" s="225">
        <f t="shared" si="37"/>
        <v>170226.94</v>
      </c>
      <c r="L131" s="225">
        <f t="shared" si="37"/>
        <v>13646.880000000001</v>
      </c>
      <c r="M131" s="225">
        <f t="shared" si="37"/>
        <v>18803.89</v>
      </c>
      <c r="N131" s="225">
        <f t="shared" si="37"/>
        <v>47223.83</v>
      </c>
      <c r="O131" s="225">
        <f t="shared" si="37"/>
        <v>137776.17000000001</v>
      </c>
    </row>
    <row r="132" spans="1:16" s="148" customFormat="1" ht="35.1" customHeight="1" thickBot="1" x14ac:dyDescent="0.25">
      <c r="A132" s="203"/>
      <c r="B132" s="147"/>
      <c r="C132" s="203"/>
      <c r="D132" s="147"/>
      <c r="E132" s="147"/>
      <c r="G132" s="149"/>
      <c r="H132" s="149"/>
      <c r="I132" s="149"/>
      <c r="J132" s="149"/>
      <c r="K132" s="149"/>
      <c r="L132" s="149"/>
      <c r="M132" s="149"/>
      <c r="N132" s="149"/>
      <c r="O132" s="149"/>
      <c r="P132" s="219"/>
    </row>
    <row r="133" spans="1:16" s="240" customFormat="1" ht="35.1" customHeight="1" thickBot="1" x14ac:dyDescent="0.25">
      <c r="A133" s="373" t="s">
        <v>142</v>
      </c>
      <c r="B133" s="374"/>
      <c r="C133" s="374"/>
      <c r="D133" s="374"/>
      <c r="E133" s="374"/>
      <c r="F133" s="246"/>
      <c r="G133" s="246"/>
      <c r="H133" s="246"/>
      <c r="I133" s="246"/>
      <c r="J133" s="246"/>
      <c r="K133" s="246"/>
      <c r="L133" s="246"/>
      <c r="M133" s="246"/>
      <c r="N133" s="246"/>
      <c r="O133" s="246"/>
      <c r="P133" s="252"/>
    </row>
    <row r="134" spans="1:16" ht="35.1" customHeight="1" x14ac:dyDescent="0.2">
      <c r="A134" s="237">
        <f>+A130+1</f>
        <v>67</v>
      </c>
      <c r="B134" s="214" t="s">
        <v>227</v>
      </c>
      <c r="C134" s="213" t="s">
        <v>335</v>
      </c>
      <c r="D134" s="222" t="s">
        <v>228</v>
      </c>
      <c r="E134" s="72" t="s">
        <v>97</v>
      </c>
      <c r="F134" s="215">
        <v>126500</v>
      </c>
      <c r="G134" s="68">
        <v>3630.55</v>
      </c>
      <c r="H134" s="68">
        <v>3845.6</v>
      </c>
      <c r="I134" s="68">
        <v>1919.78</v>
      </c>
      <c r="J134" s="69">
        <f>+G134+H134+I134</f>
        <v>9395.93</v>
      </c>
      <c r="K134" s="69">
        <f>+F134-J134</f>
        <v>117104.07</v>
      </c>
      <c r="L134" s="69">
        <f t="shared" ref="L134:L137" si="38">+IF(K134*12&lt;=416220.01,0,IF(K134*12&lt;=624329.01,(((K134*12-416220.01)*0.15)/12),IF((K134*12&lt;=867123.01),(31216+0.2*(K134*12-624329.01))/12,((79776+0.25*(K134*12-867123.01))/12))))</f>
        <v>17858.954791666667</v>
      </c>
      <c r="M134" s="234">
        <v>1290.29</v>
      </c>
      <c r="N134" s="215">
        <f>+M134+I134+H134+G134+L134</f>
        <v>28545.174791666668</v>
      </c>
      <c r="O134" s="84">
        <f>+F134-N134</f>
        <v>97954.825208333335</v>
      </c>
    </row>
    <row r="135" spans="1:16" s="148" customFormat="1" ht="35.1" customHeight="1" x14ac:dyDescent="0.2">
      <c r="A135" s="237">
        <f>+A134+1</f>
        <v>68</v>
      </c>
      <c r="B135" s="214" t="s">
        <v>229</v>
      </c>
      <c r="C135" s="213" t="s">
        <v>336</v>
      </c>
      <c r="D135" s="222" t="s">
        <v>580</v>
      </c>
      <c r="E135" s="72" t="s">
        <v>97</v>
      </c>
      <c r="F135" s="215">
        <v>95000</v>
      </c>
      <c r="G135" s="216">
        <f>F135*2.87%</f>
        <v>2726.5</v>
      </c>
      <c r="H135" s="68">
        <f>+F135*3.04%</f>
        <v>2888</v>
      </c>
      <c r="I135" s="68"/>
      <c r="J135" s="69">
        <f>+G135+H135+I135</f>
        <v>5614.5</v>
      </c>
      <c r="K135" s="69">
        <f>+F135-J135</f>
        <v>89385.5</v>
      </c>
      <c r="L135" s="69">
        <v>10929.31</v>
      </c>
      <c r="M135" s="234">
        <v>25</v>
      </c>
      <c r="N135" s="215">
        <f>+M135+I135+H135+G135+L135</f>
        <v>16568.809999999998</v>
      </c>
      <c r="O135" s="84">
        <f>+F135-N135</f>
        <v>78431.19</v>
      </c>
      <c r="P135" s="219"/>
    </row>
    <row r="136" spans="1:16" ht="35.1" customHeight="1" x14ac:dyDescent="0.2">
      <c r="A136" s="237">
        <f>+A135+1</f>
        <v>69</v>
      </c>
      <c r="B136" s="214" t="s">
        <v>158</v>
      </c>
      <c r="C136" s="213" t="s">
        <v>335</v>
      </c>
      <c r="D136" s="222" t="s">
        <v>580</v>
      </c>
      <c r="E136" s="72" t="s">
        <v>96</v>
      </c>
      <c r="F136" s="215">
        <v>95000</v>
      </c>
      <c r="G136" s="68">
        <f>F136*2.87%</f>
        <v>2726.5</v>
      </c>
      <c r="H136" s="68">
        <f>+F136*3.04%</f>
        <v>2888</v>
      </c>
      <c r="I136" s="68"/>
      <c r="J136" s="69">
        <f>+G136+H136+I136</f>
        <v>5614.5</v>
      </c>
      <c r="K136" s="69">
        <f>+F136-J136</f>
        <v>89385.5</v>
      </c>
      <c r="L136" s="69">
        <f t="shared" si="38"/>
        <v>10929.312291666667</v>
      </c>
      <c r="M136" s="234">
        <v>25</v>
      </c>
      <c r="N136" s="215">
        <f>+M136+I136+H136+G136+L136</f>
        <v>16568.812291666669</v>
      </c>
      <c r="O136" s="84">
        <f>+F136-N136</f>
        <v>78431.187708333338</v>
      </c>
    </row>
    <row r="137" spans="1:16" s="240" customFormat="1" ht="35.1" customHeight="1" x14ac:dyDescent="0.2">
      <c r="A137" s="237">
        <f>+A136+1</f>
        <v>70</v>
      </c>
      <c r="B137" s="214" t="s">
        <v>54</v>
      </c>
      <c r="C137" s="213" t="s">
        <v>335</v>
      </c>
      <c r="D137" s="222" t="s">
        <v>580</v>
      </c>
      <c r="E137" s="72" t="s">
        <v>97</v>
      </c>
      <c r="F137" s="215">
        <v>95000</v>
      </c>
      <c r="G137" s="216">
        <f>F137*2.87%</f>
        <v>2726.5</v>
      </c>
      <c r="H137" s="68">
        <f>+F137*3.04%</f>
        <v>2888</v>
      </c>
      <c r="I137" s="68">
        <f>1919.78*2</f>
        <v>3839.56</v>
      </c>
      <c r="J137" s="69">
        <f>+G137+H137+I137</f>
        <v>9454.06</v>
      </c>
      <c r="K137" s="69">
        <f>+F137-J137</f>
        <v>85545.94</v>
      </c>
      <c r="L137" s="69">
        <f t="shared" si="38"/>
        <v>9969.4222916666677</v>
      </c>
      <c r="M137" s="221">
        <v>5288.97</v>
      </c>
      <c r="N137" s="215">
        <f>+M137+I137+H137+G137+L137</f>
        <v>24712.452291666668</v>
      </c>
      <c r="O137" s="84">
        <f>+F137-N137</f>
        <v>70287.547708333324</v>
      </c>
      <c r="P137" s="252"/>
    </row>
    <row r="138" spans="1:16" s="219" customFormat="1" ht="35.1" customHeight="1" x14ac:dyDescent="0.2">
      <c r="A138" s="223" t="s">
        <v>99</v>
      </c>
      <c r="B138" s="224"/>
      <c r="C138" s="224"/>
      <c r="D138" s="224"/>
      <c r="E138" s="239"/>
      <c r="F138" s="225">
        <f>SUM(F134:F137)</f>
        <v>411500</v>
      </c>
      <c r="G138" s="225">
        <f t="shared" ref="G138:O138" si="39">SUM(G134:G137)</f>
        <v>11810.05</v>
      </c>
      <c r="H138" s="225">
        <f t="shared" si="39"/>
        <v>12509.6</v>
      </c>
      <c r="I138" s="225">
        <f t="shared" si="39"/>
        <v>5759.34</v>
      </c>
      <c r="J138" s="225">
        <f t="shared" si="39"/>
        <v>30078.989999999998</v>
      </c>
      <c r="K138" s="225">
        <f t="shared" si="39"/>
        <v>381421.01</v>
      </c>
      <c r="L138" s="225">
        <f t="shared" si="39"/>
        <v>49686.999375000007</v>
      </c>
      <c r="M138" s="225">
        <f t="shared" si="39"/>
        <v>6629.26</v>
      </c>
      <c r="N138" s="225">
        <f t="shared" si="39"/>
        <v>86395.249374999999</v>
      </c>
      <c r="O138" s="225">
        <f t="shared" si="39"/>
        <v>325104.75062499999</v>
      </c>
    </row>
    <row r="139" spans="1:16" s="219" customFormat="1" ht="35.1" customHeight="1" thickBot="1" x14ac:dyDescent="0.25">
      <c r="A139" s="146"/>
      <c r="B139" s="146"/>
      <c r="C139" s="146"/>
      <c r="D139" s="146"/>
      <c r="E139" s="146"/>
      <c r="F139" s="226"/>
      <c r="G139" s="226"/>
      <c r="H139" s="226"/>
      <c r="I139" s="226"/>
      <c r="J139" s="226"/>
      <c r="K139" s="226"/>
      <c r="L139" s="226"/>
      <c r="M139" s="226"/>
      <c r="N139" s="226"/>
      <c r="O139" s="226"/>
    </row>
    <row r="140" spans="1:16" s="219" customFormat="1" ht="35.1" customHeight="1" thickBot="1" x14ac:dyDescent="0.25">
      <c r="A140" s="229" t="s">
        <v>143</v>
      </c>
      <c r="B140" s="230"/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</row>
    <row r="141" spans="1:16" s="148" customFormat="1" ht="35.1" customHeight="1" x14ac:dyDescent="0.2">
      <c r="A141" s="73">
        <f>+A137+1</f>
        <v>71</v>
      </c>
      <c r="B141" s="72" t="s">
        <v>55</v>
      </c>
      <c r="C141" s="73" t="s">
        <v>336</v>
      </c>
      <c r="D141" s="233" t="s">
        <v>168</v>
      </c>
      <c r="E141" s="72" t="s">
        <v>97</v>
      </c>
      <c r="F141" s="216">
        <v>148500</v>
      </c>
      <c r="G141" s="68">
        <v>4261.95</v>
      </c>
      <c r="H141" s="68">
        <v>4514.3999999999996</v>
      </c>
      <c r="I141" s="68"/>
      <c r="J141" s="69">
        <f>+G141+H141+I141</f>
        <v>8776.3499999999985</v>
      </c>
      <c r="K141" s="69">
        <f>+F141-J141</f>
        <v>139723.65</v>
      </c>
      <c r="L141" s="69">
        <f t="shared" ref="L141" si="40">+IF(K141*12&lt;=416220.01,0,IF(K141*12&lt;=624329.01,(((K141*12-416220.01)*0.15)/12),IF((K141*12&lt;=867123.01),(31216+0.2*(K141*12-624329.01))/12,((79776+0.25*(K141*12-867123.01))/12))))</f>
        <v>23513.849791666664</v>
      </c>
      <c r="M141" s="221">
        <v>18699.22</v>
      </c>
      <c r="N141" s="215">
        <f>+M141+I141+H141+G141+L141</f>
        <v>50989.419791666667</v>
      </c>
      <c r="O141" s="234">
        <f>+F141-N141</f>
        <v>97510.580208333326</v>
      </c>
      <c r="P141" s="219"/>
    </row>
    <row r="142" spans="1:16" s="148" customFormat="1" ht="35.1" customHeight="1" x14ac:dyDescent="0.2">
      <c r="A142" s="73">
        <f>+A141+1</f>
        <v>72</v>
      </c>
      <c r="B142" s="72" t="s">
        <v>359</v>
      </c>
      <c r="C142" s="73" t="s">
        <v>336</v>
      </c>
      <c r="D142" s="233" t="s">
        <v>50</v>
      </c>
      <c r="E142" s="72" t="s">
        <v>191</v>
      </c>
      <c r="F142" s="216">
        <v>50000</v>
      </c>
      <c r="G142" s="68">
        <f>+F142*2.87%</f>
        <v>1435</v>
      </c>
      <c r="H142" s="68">
        <f>+F142*3.04%</f>
        <v>1520</v>
      </c>
      <c r="I142" s="68"/>
      <c r="J142" s="69">
        <f>+G142+H142+I142</f>
        <v>2955</v>
      </c>
      <c r="K142" s="69">
        <f>+F142-J142</f>
        <v>47045</v>
      </c>
      <c r="L142" s="69">
        <v>0</v>
      </c>
      <c r="M142" s="221">
        <v>225</v>
      </c>
      <c r="N142" s="215">
        <f>+M142+I142+H142+G142+L142</f>
        <v>3180</v>
      </c>
      <c r="O142" s="234">
        <f>+F142-N142</f>
        <v>46820</v>
      </c>
      <c r="P142" s="219"/>
    </row>
    <row r="143" spans="1:16" s="219" customFormat="1" ht="35.1" customHeight="1" x14ac:dyDescent="0.2">
      <c r="A143" s="223" t="s">
        <v>99</v>
      </c>
      <c r="B143" s="224"/>
      <c r="C143" s="224"/>
      <c r="D143" s="224"/>
      <c r="E143" s="239"/>
      <c r="F143" s="225">
        <f t="shared" ref="F143:L143" si="41">SUM(F141:F142)</f>
        <v>198500</v>
      </c>
      <c r="G143" s="225">
        <f t="shared" si="41"/>
        <v>5696.95</v>
      </c>
      <c r="H143" s="225">
        <f t="shared" si="41"/>
        <v>6034.4</v>
      </c>
      <c r="I143" s="225">
        <f t="shared" si="41"/>
        <v>0</v>
      </c>
      <c r="J143" s="225">
        <f t="shared" si="41"/>
        <v>11731.349999999999</v>
      </c>
      <c r="K143" s="225">
        <f t="shared" si="41"/>
        <v>186768.65</v>
      </c>
      <c r="L143" s="225">
        <f t="shared" si="41"/>
        <v>23513.849791666664</v>
      </c>
      <c r="M143" s="225">
        <f>SUM(M141:M142)</f>
        <v>18924.22</v>
      </c>
      <c r="N143" s="225">
        <f t="shared" ref="N143:O143" si="42">SUM(N141:N142)</f>
        <v>54169.419791666667</v>
      </c>
      <c r="O143" s="225">
        <f t="shared" si="42"/>
        <v>144330.58020833333</v>
      </c>
    </row>
    <row r="144" spans="1:16" s="252" customFormat="1" ht="35.1" customHeight="1" thickBot="1" x14ac:dyDescent="0.25">
      <c r="A144" s="145"/>
      <c r="B144" s="145"/>
      <c r="C144" s="145"/>
      <c r="D144" s="145"/>
      <c r="E144" s="145"/>
      <c r="F144" s="226"/>
      <c r="G144" s="226"/>
      <c r="H144" s="226"/>
      <c r="I144" s="226"/>
      <c r="J144" s="226"/>
      <c r="K144" s="226"/>
      <c r="L144" s="226"/>
      <c r="M144" s="226"/>
      <c r="N144" s="226"/>
      <c r="O144" s="226"/>
    </row>
    <row r="145" spans="1:16" s="240" customFormat="1" ht="35.1" customHeight="1" thickBot="1" x14ac:dyDescent="0.25">
      <c r="A145" s="229" t="s">
        <v>582</v>
      </c>
      <c r="B145" s="230"/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52"/>
    </row>
    <row r="146" spans="1:16" s="219" customFormat="1" ht="35.1" customHeight="1" x14ac:dyDescent="0.2">
      <c r="A146" s="235">
        <f>+A142+1</f>
        <v>73</v>
      </c>
      <c r="B146" s="72" t="s">
        <v>202</v>
      </c>
      <c r="C146" s="73" t="s">
        <v>336</v>
      </c>
      <c r="D146" s="233" t="s">
        <v>580</v>
      </c>
      <c r="E146" s="72" t="s">
        <v>96</v>
      </c>
      <c r="F146" s="216">
        <v>95000</v>
      </c>
      <c r="G146" s="216">
        <f>F146*2.87%</f>
        <v>2726.5</v>
      </c>
      <c r="H146" s="68">
        <f>+F146*3.04%</f>
        <v>2888</v>
      </c>
      <c r="I146" s="68">
        <v>1919.78</v>
      </c>
      <c r="J146" s="69">
        <f>+G146+H146+I146</f>
        <v>7534.28</v>
      </c>
      <c r="K146" s="69">
        <f>+F146-J146</f>
        <v>87465.72</v>
      </c>
      <c r="L146" s="69">
        <v>5333.47</v>
      </c>
      <c r="M146" s="221">
        <v>12617.57</v>
      </c>
      <c r="N146" s="215">
        <f>+M146+I146+H146+G146+L146</f>
        <v>25485.32</v>
      </c>
      <c r="O146" s="84">
        <f>+F146-N146</f>
        <v>69514.679999999993</v>
      </c>
    </row>
    <row r="147" spans="1:16" s="148" customFormat="1" ht="35.1" customHeight="1" x14ac:dyDescent="0.2">
      <c r="A147" s="223" t="s">
        <v>99</v>
      </c>
      <c r="B147" s="224"/>
      <c r="C147" s="224"/>
      <c r="D147" s="224"/>
      <c r="E147" s="239"/>
      <c r="F147" s="225">
        <f t="shared" ref="F147:L147" si="43">SUM(F146:F146)</f>
        <v>95000</v>
      </c>
      <c r="G147" s="225">
        <f t="shared" si="43"/>
        <v>2726.5</v>
      </c>
      <c r="H147" s="225">
        <f t="shared" si="43"/>
        <v>2888</v>
      </c>
      <c r="I147" s="225">
        <f t="shared" si="43"/>
        <v>1919.78</v>
      </c>
      <c r="J147" s="225">
        <f t="shared" si="43"/>
        <v>7534.28</v>
      </c>
      <c r="K147" s="225">
        <f t="shared" si="43"/>
        <v>87465.72</v>
      </c>
      <c r="L147" s="225">
        <f t="shared" si="43"/>
        <v>5333.47</v>
      </c>
      <c r="M147" s="225">
        <f>SUM(M146:M146)</f>
        <v>12617.57</v>
      </c>
      <c r="N147" s="225">
        <f>SUM(N146:N146)</f>
        <v>25485.32</v>
      </c>
      <c r="O147" s="225">
        <f>SUM(O146:O146)</f>
        <v>69514.679999999993</v>
      </c>
      <c r="P147" s="219"/>
    </row>
    <row r="148" spans="1:16" s="219" customFormat="1" ht="35.1" customHeight="1" thickBot="1" x14ac:dyDescent="0.25">
      <c r="A148" s="218"/>
      <c r="B148" s="218"/>
      <c r="C148" s="243"/>
      <c r="D148" s="218"/>
      <c r="E148" s="218"/>
      <c r="F148" s="218"/>
      <c r="G148" s="218"/>
      <c r="H148" s="218"/>
      <c r="I148" s="218"/>
      <c r="J148" s="218"/>
      <c r="K148" s="218"/>
      <c r="L148" s="218"/>
      <c r="M148" s="218"/>
      <c r="N148" s="218"/>
      <c r="O148" s="218"/>
    </row>
    <row r="149" spans="1:16" s="219" customFormat="1" ht="35.1" customHeight="1" thickBot="1" x14ac:dyDescent="0.25">
      <c r="A149" s="375" t="s">
        <v>144</v>
      </c>
      <c r="B149" s="376"/>
      <c r="C149" s="376"/>
      <c r="D149" s="376"/>
      <c r="E149" s="376"/>
      <c r="F149" s="246"/>
      <c r="G149" s="246"/>
      <c r="H149" s="246"/>
      <c r="I149" s="246"/>
      <c r="J149" s="246"/>
      <c r="K149" s="246"/>
      <c r="L149" s="246"/>
      <c r="M149" s="246"/>
      <c r="N149" s="246"/>
      <c r="O149" s="246"/>
    </row>
    <row r="150" spans="1:16" s="219" customFormat="1" ht="35.1" customHeight="1" x14ac:dyDescent="0.2">
      <c r="A150" s="235">
        <f>+A146+1</f>
        <v>74</v>
      </c>
      <c r="B150" s="72" t="s">
        <v>232</v>
      </c>
      <c r="C150" s="73" t="s">
        <v>335</v>
      </c>
      <c r="D150" s="233" t="s">
        <v>580</v>
      </c>
      <c r="E150" s="72" t="s">
        <v>97</v>
      </c>
      <c r="F150" s="216">
        <v>95000</v>
      </c>
      <c r="G150" s="216">
        <f>F150*2.87%</f>
        <v>2726.5</v>
      </c>
      <c r="H150" s="68">
        <f>F150*3.04%</f>
        <v>2888</v>
      </c>
      <c r="I150" s="68"/>
      <c r="J150" s="69">
        <f>+G150+H150+I150</f>
        <v>5614.5</v>
      </c>
      <c r="K150" s="69">
        <f>+F150-J150</f>
        <v>89385.5</v>
      </c>
      <c r="L150" s="69">
        <f>+IF(K150*12&lt;=416220.01,0,IF(K150*12&lt;=624329.01,(((K150*12-416220.01)*0.15)/12),IF((K150*12&lt;=867123.01),(31216+0.2*(K150*12-624329.01))/12,((79776+0.25*(K150*12-867123.01))/12))))</f>
        <v>10929.312291666667</v>
      </c>
      <c r="M150" s="221">
        <v>265</v>
      </c>
      <c r="N150" s="215">
        <f>+M150+I150+H150+G150+L150</f>
        <v>16808.812291666669</v>
      </c>
      <c r="O150" s="84">
        <f>+F150-N150</f>
        <v>78191.187708333338</v>
      </c>
    </row>
    <row r="151" spans="1:16" s="219" customFormat="1" ht="41.25" customHeight="1" x14ac:dyDescent="0.2">
      <c r="A151" s="223" t="s">
        <v>99</v>
      </c>
      <c r="B151" s="224"/>
      <c r="C151" s="224"/>
      <c r="D151" s="224"/>
      <c r="E151" s="239"/>
      <c r="F151" s="225">
        <f t="shared" ref="F151:L151" si="44">SUM(F150:F150)</f>
        <v>95000</v>
      </c>
      <c r="G151" s="225">
        <f t="shared" si="44"/>
        <v>2726.5</v>
      </c>
      <c r="H151" s="225">
        <f t="shared" si="44"/>
        <v>2888</v>
      </c>
      <c r="I151" s="225">
        <f t="shared" si="44"/>
        <v>0</v>
      </c>
      <c r="J151" s="225">
        <f t="shared" si="44"/>
        <v>5614.5</v>
      </c>
      <c r="K151" s="225">
        <f t="shared" si="44"/>
        <v>89385.5</v>
      </c>
      <c r="L151" s="225">
        <f t="shared" si="44"/>
        <v>10929.312291666667</v>
      </c>
      <c r="M151" s="225">
        <f>SUM(M150:M150)</f>
        <v>265</v>
      </c>
      <c r="N151" s="225">
        <f t="shared" ref="N151:O151" si="45">SUM(N150:N150)</f>
        <v>16808.812291666669</v>
      </c>
      <c r="O151" s="225">
        <f t="shared" si="45"/>
        <v>78191.187708333338</v>
      </c>
    </row>
    <row r="152" spans="1:16" s="219" customFormat="1" ht="35.1" customHeight="1" thickBot="1" x14ac:dyDescent="0.25">
      <c r="A152" s="145"/>
      <c r="B152" s="145"/>
      <c r="C152" s="145"/>
      <c r="D152" s="145"/>
      <c r="E152" s="145"/>
      <c r="F152" s="226"/>
      <c r="G152" s="226"/>
      <c r="H152" s="226"/>
      <c r="I152" s="226"/>
      <c r="J152" s="226"/>
      <c r="K152" s="226"/>
      <c r="L152" s="226"/>
      <c r="M152" s="226"/>
      <c r="N152" s="226"/>
      <c r="O152" s="226"/>
    </row>
    <row r="153" spans="1:16" s="240" customFormat="1" ht="35.1" customHeight="1" thickBot="1" x14ac:dyDescent="0.25">
      <c r="A153" s="229" t="s">
        <v>242</v>
      </c>
      <c r="B153" s="230"/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52"/>
    </row>
    <row r="154" spans="1:16" ht="43.5" customHeight="1" thickBot="1" x14ac:dyDescent="0.25">
      <c r="A154" s="229" t="s">
        <v>243</v>
      </c>
      <c r="B154" s="230"/>
      <c r="C154" s="230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</row>
    <row r="155" spans="1:16" ht="35.1" customHeight="1" x14ac:dyDescent="0.2">
      <c r="A155" s="235">
        <f>+A150+1</f>
        <v>75</v>
      </c>
      <c r="B155" s="72" t="s">
        <v>233</v>
      </c>
      <c r="C155" s="73" t="s">
        <v>336</v>
      </c>
      <c r="D155" s="88" t="s">
        <v>429</v>
      </c>
      <c r="E155" s="72" t="s">
        <v>96</v>
      </c>
      <c r="F155" s="216">
        <v>120000</v>
      </c>
      <c r="G155" s="216">
        <f>F155*2.87%</f>
        <v>3444</v>
      </c>
      <c r="H155" s="68">
        <f>+F155*3.04%</f>
        <v>3648</v>
      </c>
      <c r="I155" s="68"/>
      <c r="J155" s="69">
        <f>+G155+H155+I155</f>
        <v>7092</v>
      </c>
      <c r="K155" s="69">
        <f>+F155-J155</f>
        <v>112908</v>
      </c>
      <c r="L155" s="69">
        <f>+IF(K155*12&lt;=416220.01,0,IF(K155*12&lt;=624329.01,(((K155*12-416220.01)*0.15)/12),IF((K155*12&lt;=867123.01),(31216+0.2*(K155*12-624329.01))/12,((79776+0.25*(K155*12-867123.01))/12))))</f>
        <v>16809.937291666665</v>
      </c>
      <c r="M155" s="234">
        <v>25</v>
      </c>
      <c r="N155" s="215">
        <f>+M155+I155+H155+G155+L155</f>
        <v>23926.937291666665</v>
      </c>
      <c r="O155" s="234">
        <f>+F155-N155</f>
        <v>96073.062708333338</v>
      </c>
    </row>
    <row r="156" spans="1:16" s="219" customFormat="1" ht="35.1" customHeight="1" x14ac:dyDescent="0.2">
      <c r="A156" s="223" t="s">
        <v>99</v>
      </c>
      <c r="B156" s="224"/>
      <c r="C156" s="224"/>
      <c r="D156" s="224"/>
      <c r="E156" s="239"/>
      <c r="F156" s="225">
        <f t="shared" ref="F156:O156" si="46">SUM(F155:F155)</f>
        <v>120000</v>
      </c>
      <c r="G156" s="225">
        <f t="shared" si="46"/>
        <v>3444</v>
      </c>
      <c r="H156" s="225">
        <f t="shared" si="46"/>
        <v>3648</v>
      </c>
      <c r="I156" s="225">
        <f t="shared" si="46"/>
        <v>0</v>
      </c>
      <c r="J156" s="225">
        <f t="shared" si="46"/>
        <v>7092</v>
      </c>
      <c r="K156" s="225">
        <f t="shared" si="46"/>
        <v>112908</v>
      </c>
      <c r="L156" s="225">
        <f t="shared" si="46"/>
        <v>16809.937291666665</v>
      </c>
      <c r="M156" s="225">
        <f t="shared" si="46"/>
        <v>25</v>
      </c>
      <c r="N156" s="225">
        <f t="shared" si="46"/>
        <v>23926.937291666665</v>
      </c>
      <c r="O156" s="225">
        <f t="shared" si="46"/>
        <v>96073.062708333338</v>
      </c>
    </row>
    <row r="157" spans="1:16" s="240" customFormat="1" ht="35.1" customHeight="1" thickBot="1" x14ac:dyDescent="0.25">
      <c r="A157" s="148"/>
      <c r="B157" s="148"/>
      <c r="C157" s="227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252"/>
    </row>
    <row r="158" spans="1:16" s="240" customFormat="1" ht="35.1" customHeight="1" thickBot="1" x14ac:dyDescent="0.25">
      <c r="A158" s="229" t="s">
        <v>68</v>
      </c>
      <c r="B158" s="230"/>
      <c r="C158" s="230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52"/>
    </row>
    <row r="159" spans="1:16" s="148" customFormat="1" ht="35.1" customHeight="1" x14ac:dyDescent="0.2">
      <c r="A159" s="235">
        <f>+A155+1</f>
        <v>76</v>
      </c>
      <c r="B159" s="272" t="s">
        <v>526</v>
      </c>
      <c r="C159" s="235" t="s">
        <v>336</v>
      </c>
      <c r="D159" s="282" t="s">
        <v>545</v>
      </c>
      <c r="E159" s="238" t="s">
        <v>97</v>
      </c>
      <c r="F159" s="68">
        <v>100000</v>
      </c>
      <c r="G159" s="68">
        <f>F159*2.87%</f>
        <v>2870</v>
      </c>
      <c r="H159" s="68">
        <f>+F159*3.04%</f>
        <v>3040</v>
      </c>
      <c r="I159" s="68">
        <v>1919.78</v>
      </c>
      <c r="J159" s="69">
        <f>+G159+H159+I159</f>
        <v>7829.78</v>
      </c>
      <c r="K159" s="69">
        <f>+F159-J159</f>
        <v>92170.22</v>
      </c>
      <c r="L159" s="69">
        <f>+IF(K159*12&lt;=416220.01,0,IF(K159*12&lt;=624329.01,(((K159*12-416220.01)*0.15)/12),IF((K159*12&lt;=867123.01),(31216+0.2*(K159*12-624329.01))/12,((79776+0.25*(K159*12-867123.01))/12))))</f>
        <v>11625.492291666669</v>
      </c>
      <c r="M159" s="234">
        <v>225</v>
      </c>
      <c r="N159" s="215">
        <f>+M159+I159+H159+G159+L159</f>
        <v>19680.272291666668</v>
      </c>
      <c r="O159" s="234">
        <f>+F159-N159</f>
        <v>80319.727708333332</v>
      </c>
      <c r="P159" s="219"/>
    </row>
    <row r="160" spans="1:16" s="219" customFormat="1" ht="35.1" customHeight="1" thickBot="1" x14ac:dyDescent="0.25">
      <c r="A160" s="223" t="s">
        <v>99</v>
      </c>
      <c r="B160" s="224"/>
      <c r="C160" s="224"/>
      <c r="D160" s="224"/>
      <c r="E160" s="239"/>
      <c r="F160" s="225">
        <f t="shared" ref="F160:O160" si="47">SUM(F159:F159)</f>
        <v>100000</v>
      </c>
      <c r="G160" s="225">
        <f t="shared" si="47"/>
        <v>2870</v>
      </c>
      <c r="H160" s="225">
        <f t="shared" si="47"/>
        <v>3040</v>
      </c>
      <c r="I160" s="225">
        <f t="shared" si="47"/>
        <v>1919.78</v>
      </c>
      <c r="J160" s="225">
        <f t="shared" si="47"/>
        <v>7829.78</v>
      </c>
      <c r="K160" s="225">
        <f t="shared" si="47"/>
        <v>92170.22</v>
      </c>
      <c r="L160" s="225">
        <f t="shared" si="47"/>
        <v>11625.492291666669</v>
      </c>
      <c r="M160" s="225">
        <f t="shared" si="47"/>
        <v>225</v>
      </c>
      <c r="N160" s="225">
        <f t="shared" si="47"/>
        <v>19680.272291666668</v>
      </c>
      <c r="O160" s="225">
        <f t="shared" si="47"/>
        <v>80319.727708333332</v>
      </c>
    </row>
    <row r="161" spans="1:16" s="219" customFormat="1" ht="35.1" customHeight="1" thickBot="1" x14ac:dyDescent="0.25">
      <c r="A161" s="229" t="s">
        <v>69</v>
      </c>
      <c r="B161" s="230"/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</row>
    <row r="162" spans="1:16" s="240" customFormat="1" ht="35.1" customHeight="1" x14ac:dyDescent="0.2">
      <c r="A162" s="237">
        <f>+A159+1</f>
        <v>77</v>
      </c>
      <c r="B162" s="214" t="s">
        <v>9</v>
      </c>
      <c r="C162" s="213" t="s">
        <v>336</v>
      </c>
      <c r="D162" s="220" t="s">
        <v>84</v>
      </c>
      <c r="E162" s="214" t="s">
        <v>165</v>
      </c>
      <c r="F162" s="215">
        <v>145000</v>
      </c>
      <c r="G162" s="215">
        <f>F162*2.87%</f>
        <v>4161.5</v>
      </c>
      <c r="H162" s="215">
        <f>+F162*3.04%</f>
        <v>4408</v>
      </c>
      <c r="I162" s="215"/>
      <c r="J162" s="69">
        <f>+G162+H162+I162</f>
        <v>8569.5</v>
      </c>
      <c r="K162" s="69">
        <f>+F162-J162</f>
        <v>136430.5</v>
      </c>
      <c r="L162" s="69">
        <f>+IF(K162*12&lt;=416220.01,0,IF(K162*12&lt;=624329.01,(((K162*12-416220.01)*0.15)/12),IF((K162*12&lt;=867123.01),(31216+0.2*(K162*12-624329.01))/12,((79776+0.25*(K162*12-867123.01))/12))))</f>
        <v>22690.562291666665</v>
      </c>
      <c r="M162" s="84">
        <v>25</v>
      </c>
      <c r="N162" s="215">
        <f>+M162+I162+H162+G162+L162</f>
        <v>31285.062291666665</v>
      </c>
      <c r="O162" s="217">
        <f>+F162-N162</f>
        <v>113714.93770833334</v>
      </c>
      <c r="P162" s="252"/>
    </row>
    <row r="163" spans="1:16" s="98" customFormat="1" ht="35.1" customHeight="1" x14ac:dyDescent="0.2">
      <c r="A163" s="223" t="s">
        <v>99</v>
      </c>
      <c r="B163" s="224"/>
      <c r="C163" s="224"/>
      <c r="D163" s="224"/>
      <c r="E163" s="239"/>
      <c r="F163" s="225">
        <f t="shared" ref="F163:L163" si="48">SUM(F162:F162)</f>
        <v>145000</v>
      </c>
      <c r="G163" s="225">
        <f t="shared" si="48"/>
        <v>4161.5</v>
      </c>
      <c r="H163" s="225">
        <f t="shared" si="48"/>
        <v>4408</v>
      </c>
      <c r="I163" s="225">
        <f t="shared" si="48"/>
        <v>0</v>
      </c>
      <c r="J163" s="225">
        <f t="shared" si="48"/>
        <v>8569.5</v>
      </c>
      <c r="K163" s="225">
        <f t="shared" si="48"/>
        <v>136430.5</v>
      </c>
      <c r="L163" s="225">
        <f t="shared" si="48"/>
        <v>22690.562291666665</v>
      </c>
      <c r="M163" s="225">
        <f>SUM(M162:M162)</f>
        <v>25</v>
      </c>
      <c r="N163" s="225">
        <f t="shared" ref="N163:O163" si="49">SUM(N162:N162)</f>
        <v>31285.062291666665</v>
      </c>
      <c r="O163" s="225">
        <f t="shared" si="49"/>
        <v>113714.93770833334</v>
      </c>
    </row>
    <row r="164" spans="1:16" s="219" customFormat="1" ht="35.1" customHeight="1" thickBot="1" x14ac:dyDescent="0.25">
      <c r="A164" s="146"/>
      <c r="B164" s="146"/>
      <c r="C164" s="146"/>
      <c r="D164" s="146"/>
      <c r="E164" s="146"/>
      <c r="F164" s="218"/>
      <c r="G164" s="218"/>
      <c r="H164" s="218"/>
      <c r="I164" s="218"/>
      <c r="J164" s="218"/>
      <c r="K164" s="218"/>
      <c r="L164" s="218"/>
      <c r="M164" s="218"/>
      <c r="N164" s="218"/>
      <c r="O164" s="218"/>
    </row>
    <row r="165" spans="1:16" s="219" customFormat="1" ht="35.1" customHeight="1" thickBot="1" x14ac:dyDescent="0.25">
      <c r="A165" s="229" t="s">
        <v>241</v>
      </c>
      <c r="B165" s="230"/>
      <c r="C165" s="230"/>
      <c r="D165" s="230"/>
      <c r="E165" s="230"/>
      <c r="F165" s="230"/>
      <c r="G165" s="230"/>
      <c r="H165" s="230"/>
      <c r="I165" s="230"/>
      <c r="J165" s="230"/>
      <c r="K165" s="230"/>
      <c r="L165" s="230"/>
      <c r="M165" s="230"/>
      <c r="N165" s="230"/>
      <c r="O165" s="230"/>
    </row>
    <row r="166" spans="1:16" s="219" customFormat="1" ht="35.1" customHeight="1" x14ac:dyDescent="0.2">
      <c r="A166" s="237">
        <f>+A162+1</f>
        <v>78</v>
      </c>
      <c r="B166" s="238" t="s">
        <v>42</v>
      </c>
      <c r="C166" s="235" t="s">
        <v>336</v>
      </c>
      <c r="D166" s="233" t="s">
        <v>412</v>
      </c>
      <c r="E166" s="238" t="s">
        <v>96</v>
      </c>
      <c r="F166" s="68">
        <v>135000</v>
      </c>
      <c r="G166" s="68">
        <f>F166*2.87%</f>
        <v>3874.5</v>
      </c>
      <c r="H166" s="68">
        <f>+F166*3.04%</f>
        <v>4104</v>
      </c>
      <c r="I166" s="68">
        <v>1919.78</v>
      </c>
      <c r="J166" s="69">
        <f>+G166+H166+I166</f>
        <v>9898.2800000000007</v>
      </c>
      <c r="K166" s="69">
        <f>+F166-J166</f>
        <v>125101.72</v>
      </c>
      <c r="L166" s="69">
        <v>19858.37</v>
      </c>
      <c r="M166" s="234">
        <v>2640.29</v>
      </c>
      <c r="N166" s="215">
        <f>+M166+I166+H166+G166+L166</f>
        <v>32396.94</v>
      </c>
      <c r="O166" s="84">
        <f>+F166-N166</f>
        <v>102603.06</v>
      </c>
    </row>
    <row r="167" spans="1:16" s="206" customFormat="1" ht="35.1" customHeight="1" x14ac:dyDescent="0.2">
      <c r="A167" s="237">
        <f>+A166+1</f>
        <v>79</v>
      </c>
      <c r="B167" s="238" t="s">
        <v>237</v>
      </c>
      <c r="C167" s="235" t="s">
        <v>336</v>
      </c>
      <c r="D167" s="233" t="s">
        <v>236</v>
      </c>
      <c r="E167" s="238" t="s">
        <v>97</v>
      </c>
      <c r="F167" s="68">
        <v>100000</v>
      </c>
      <c r="G167" s="216">
        <f>F167*2.87%</f>
        <v>2870</v>
      </c>
      <c r="H167" s="68">
        <f>+F167*3.04%</f>
        <v>3040</v>
      </c>
      <c r="I167" s="68"/>
      <c r="J167" s="69">
        <f>+G167+H167+I167</f>
        <v>5910</v>
      </c>
      <c r="K167" s="69">
        <f>+F167-J167</f>
        <v>94090</v>
      </c>
      <c r="L167" s="69">
        <f t="shared" ref="L167:L170" si="50">+IF(K167*12&lt;=416220.01,0,IF(K167*12&lt;=624329.01,(((K167*12-416220.01)*0.15)/12),IF((K167*12&lt;=867123.01),(31216+0.2*(K167*12-624329.01))/12,((79776+0.25*(K167*12-867123.01))/12))))</f>
        <v>12105.437291666667</v>
      </c>
      <c r="M167" s="234">
        <v>25</v>
      </c>
      <c r="N167" s="215">
        <f>+M167+I167+H167+G167+L167</f>
        <v>18040.437291666669</v>
      </c>
      <c r="O167" s="84">
        <f>+F167-N167</f>
        <v>81959.562708333338</v>
      </c>
    </row>
    <row r="168" spans="1:16" s="148" customFormat="1" ht="35.1" customHeight="1" x14ac:dyDescent="0.2">
      <c r="A168" s="237">
        <f>+A167+1</f>
        <v>80</v>
      </c>
      <c r="B168" s="238" t="s">
        <v>222</v>
      </c>
      <c r="C168" s="235" t="s">
        <v>336</v>
      </c>
      <c r="D168" s="250" t="s">
        <v>236</v>
      </c>
      <c r="E168" s="238" t="s">
        <v>96</v>
      </c>
      <c r="F168" s="68">
        <v>90000</v>
      </c>
      <c r="G168" s="216">
        <f>F168*2.87%</f>
        <v>2583</v>
      </c>
      <c r="H168" s="216">
        <f>+F168*3.04%</f>
        <v>2736</v>
      </c>
      <c r="I168" s="216"/>
      <c r="J168" s="215">
        <f>+G168+H168+I168</f>
        <v>5319</v>
      </c>
      <c r="K168" s="215">
        <f>+F168-J168</f>
        <v>84681</v>
      </c>
      <c r="L168" s="69">
        <v>3244.93</v>
      </c>
      <c r="M168" s="221">
        <v>305</v>
      </c>
      <c r="N168" s="215">
        <f>+M168+I168+H168+G168+L168</f>
        <v>8868.93</v>
      </c>
      <c r="O168" s="217">
        <f>+F168-N168</f>
        <v>81131.070000000007</v>
      </c>
      <c r="P168" s="219"/>
    </row>
    <row r="169" spans="1:16" s="148" customFormat="1" ht="35.1" customHeight="1" x14ac:dyDescent="0.2">
      <c r="A169" s="237">
        <f>+A168+1</f>
        <v>81</v>
      </c>
      <c r="B169" s="238" t="s">
        <v>212</v>
      </c>
      <c r="C169" s="235" t="s">
        <v>336</v>
      </c>
      <c r="D169" s="233" t="s">
        <v>236</v>
      </c>
      <c r="E169" s="238" t="s">
        <v>96</v>
      </c>
      <c r="F169" s="68">
        <v>85000</v>
      </c>
      <c r="G169" s="68">
        <f>F169*2.87%</f>
        <v>2439.5</v>
      </c>
      <c r="H169" s="68">
        <f>+F169*3.04%</f>
        <v>2584</v>
      </c>
      <c r="I169" s="68"/>
      <c r="J169" s="69">
        <f>+G169+H169+I169</f>
        <v>5023.5</v>
      </c>
      <c r="K169" s="69">
        <f>+F169-J169</f>
        <v>79976.5</v>
      </c>
      <c r="L169" s="69">
        <f t="shared" si="50"/>
        <v>8577.0622916666671</v>
      </c>
      <c r="M169" s="84">
        <v>4725</v>
      </c>
      <c r="N169" s="215">
        <f>+M169+I169+H169+G169+L169</f>
        <v>18325.562291666669</v>
      </c>
      <c r="O169" s="84">
        <f>+F169-N169</f>
        <v>66674.437708333338</v>
      </c>
      <c r="P169" s="219"/>
    </row>
    <row r="170" spans="1:16" s="148" customFormat="1" ht="35.1" customHeight="1" x14ac:dyDescent="0.2">
      <c r="A170" s="237">
        <f>+A169+1</f>
        <v>82</v>
      </c>
      <c r="B170" s="238" t="s">
        <v>234</v>
      </c>
      <c r="C170" s="235" t="s">
        <v>336</v>
      </c>
      <c r="D170" s="233" t="s">
        <v>50</v>
      </c>
      <c r="E170" s="238" t="s">
        <v>97</v>
      </c>
      <c r="F170" s="68">
        <v>50000</v>
      </c>
      <c r="G170" s="68">
        <f>F170*2.87%</f>
        <v>1435</v>
      </c>
      <c r="H170" s="68">
        <f>+F170*3.04%</f>
        <v>1520</v>
      </c>
      <c r="I170" s="68">
        <v>1919.78</v>
      </c>
      <c r="J170" s="69">
        <f>+G170+H170+I170</f>
        <v>4874.78</v>
      </c>
      <c r="K170" s="69">
        <f>+F170-J170</f>
        <v>45125.22</v>
      </c>
      <c r="L170" s="69">
        <f t="shared" si="50"/>
        <v>1566.0328749999999</v>
      </c>
      <c r="M170" s="84">
        <v>17801.62</v>
      </c>
      <c r="N170" s="215">
        <f>+M170+I170+H170+G170+L170</f>
        <v>24242.432874999999</v>
      </c>
      <c r="O170" s="234">
        <f>+F170-N170</f>
        <v>25757.567125000001</v>
      </c>
      <c r="P170" s="219"/>
    </row>
    <row r="171" spans="1:16" s="148" customFormat="1" ht="35.1" customHeight="1" x14ac:dyDescent="0.2">
      <c r="A171" s="223" t="s">
        <v>99</v>
      </c>
      <c r="B171" s="224"/>
      <c r="C171" s="224"/>
      <c r="D171" s="224"/>
      <c r="E171" s="239"/>
      <c r="F171" s="225">
        <f>SUM(F166:F170)</f>
        <v>460000</v>
      </c>
      <c r="G171" s="225">
        <f t="shared" ref="G171:O171" si="51">SUM(G166:G170)</f>
        <v>13202</v>
      </c>
      <c r="H171" s="225">
        <f t="shared" si="51"/>
        <v>13984</v>
      </c>
      <c r="I171" s="225">
        <f t="shared" si="51"/>
        <v>3839.56</v>
      </c>
      <c r="J171" s="225">
        <f t="shared" si="51"/>
        <v>31025.559999999998</v>
      </c>
      <c r="K171" s="225">
        <f t="shared" si="51"/>
        <v>428974.43999999994</v>
      </c>
      <c r="L171" s="225">
        <f t="shared" si="51"/>
        <v>45351.832458333331</v>
      </c>
      <c r="M171" s="225">
        <f t="shared" si="51"/>
        <v>25496.91</v>
      </c>
      <c r="N171" s="225">
        <f t="shared" si="51"/>
        <v>101874.30245833333</v>
      </c>
      <c r="O171" s="225">
        <f t="shared" si="51"/>
        <v>358125.69754166674</v>
      </c>
      <c r="P171" s="219"/>
    </row>
    <row r="172" spans="1:16" s="219" customFormat="1" ht="26.45" customHeight="1" thickBot="1" x14ac:dyDescent="0.25">
      <c r="A172" s="227"/>
      <c r="B172" s="260"/>
      <c r="C172" s="261"/>
      <c r="D172" s="260"/>
      <c r="E172" s="260"/>
      <c r="F172" s="262"/>
      <c r="G172" s="148"/>
      <c r="H172" s="148"/>
      <c r="I172" s="148"/>
      <c r="J172" s="148"/>
      <c r="K172" s="148"/>
      <c r="L172" s="148"/>
      <c r="M172" s="148"/>
      <c r="N172" s="148"/>
      <c r="O172" s="148"/>
    </row>
    <row r="173" spans="1:16" s="148" customFormat="1" ht="35.1" customHeight="1" thickBot="1" x14ac:dyDescent="0.25">
      <c r="A173" s="229" t="s">
        <v>70</v>
      </c>
      <c r="B173" s="230"/>
      <c r="C173" s="230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19"/>
    </row>
    <row r="174" spans="1:16" s="240" customFormat="1" ht="35.1" customHeight="1" x14ac:dyDescent="0.2">
      <c r="A174" s="235">
        <f>+A170+1</f>
        <v>83</v>
      </c>
      <c r="B174" s="72" t="s">
        <v>56</v>
      </c>
      <c r="C174" s="73" t="s">
        <v>336</v>
      </c>
      <c r="D174" s="233" t="s">
        <v>430</v>
      </c>
      <c r="E174" s="72" t="s">
        <v>96</v>
      </c>
      <c r="F174" s="216">
        <v>120000</v>
      </c>
      <c r="G174" s="68">
        <f t="shared" ref="G174:G177" si="52">F174*2.87%</f>
        <v>3444</v>
      </c>
      <c r="H174" s="68">
        <f t="shared" ref="H174:H177" si="53">+F174*3.04%</f>
        <v>3648</v>
      </c>
      <c r="I174" s="68"/>
      <c r="J174" s="69">
        <f t="shared" ref="J174:J177" si="54">+G174+H174+I174</f>
        <v>7092</v>
      </c>
      <c r="K174" s="69">
        <f t="shared" ref="K174:K177" si="55">+F174-J174</f>
        <v>112908</v>
      </c>
      <c r="L174" s="215">
        <f t="shared" ref="L174:L177" si="56">+IF(K174*12&lt;=416220.01,0,IF(K174*12&lt;=624329.01,(((K174*12-416220.01)*0.15)/12),IF((K174*12&lt;=867123.01),(31216+0.2*(K174*12-624329.01))/12,((79776+0.25*(K174*12-867123.01))/12))))</f>
        <v>16809.937291666665</v>
      </c>
      <c r="M174" s="221">
        <v>8400.8700000000008</v>
      </c>
      <c r="N174" s="215">
        <f>+M174+I174+H174+G174+L174</f>
        <v>32302.807291666664</v>
      </c>
      <c r="O174" s="84">
        <f>+F174-N174</f>
        <v>87697.192708333343</v>
      </c>
      <c r="P174" s="252"/>
    </row>
    <row r="175" spans="1:16" s="240" customFormat="1" ht="35.1" customHeight="1" x14ac:dyDescent="0.2">
      <c r="A175" s="235">
        <f>+A174+1</f>
        <v>84</v>
      </c>
      <c r="B175" s="238" t="s">
        <v>235</v>
      </c>
      <c r="C175" s="235" t="s">
        <v>336</v>
      </c>
      <c r="D175" s="250" t="s">
        <v>238</v>
      </c>
      <c r="E175" s="238" t="s">
        <v>96</v>
      </c>
      <c r="F175" s="68">
        <v>90000</v>
      </c>
      <c r="G175" s="68">
        <f>F175*2.87%</f>
        <v>2583</v>
      </c>
      <c r="H175" s="68">
        <f>+F175*3.04%</f>
        <v>2736</v>
      </c>
      <c r="I175" s="68">
        <v>0</v>
      </c>
      <c r="J175" s="69">
        <f>+G175+H175+I175</f>
        <v>5319</v>
      </c>
      <c r="K175" s="69">
        <f>+F175-J175</f>
        <v>84681</v>
      </c>
      <c r="L175" s="215">
        <f t="shared" si="56"/>
        <v>9753.1872916666671</v>
      </c>
      <c r="M175" s="221">
        <v>25</v>
      </c>
      <c r="N175" s="215">
        <f>+M175+I175+H175+G175+L175</f>
        <v>15097.187291666667</v>
      </c>
      <c r="O175" s="84">
        <f>+F175-N175</f>
        <v>74902.812708333338</v>
      </c>
      <c r="P175" s="252"/>
    </row>
    <row r="176" spans="1:16" s="219" customFormat="1" ht="35.1" customHeight="1" x14ac:dyDescent="0.2">
      <c r="A176" s="235">
        <f>+A175+1</f>
        <v>85</v>
      </c>
      <c r="B176" s="72" t="s">
        <v>219</v>
      </c>
      <c r="C176" s="73" t="s">
        <v>336</v>
      </c>
      <c r="D176" s="233" t="s">
        <v>238</v>
      </c>
      <c r="E176" s="72" t="s">
        <v>96</v>
      </c>
      <c r="F176" s="216">
        <v>80000</v>
      </c>
      <c r="G176" s="68">
        <f t="shared" si="52"/>
        <v>2296</v>
      </c>
      <c r="H176" s="68">
        <f t="shared" si="53"/>
        <v>2432</v>
      </c>
      <c r="I176" s="68"/>
      <c r="J176" s="69">
        <f t="shared" si="54"/>
        <v>4728</v>
      </c>
      <c r="K176" s="69">
        <f t="shared" si="55"/>
        <v>75272</v>
      </c>
      <c r="L176" s="215">
        <f t="shared" si="56"/>
        <v>7400.9372916666662</v>
      </c>
      <c r="M176" s="221">
        <v>25</v>
      </c>
      <c r="N176" s="215">
        <f>+M176+I176+H176+G176+L176</f>
        <v>12153.937291666665</v>
      </c>
      <c r="O176" s="84">
        <f>+F176-N176</f>
        <v>67846.062708333338</v>
      </c>
    </row>
    <row r="177" spans="1:16" s="148" customFormat="1" ht="51" customHeight="1" x14ac:dyDescent="0.2">
      <c r="A177" s="213">
        <f>+A176+1</f>
        <v>86</v>
      </c>
      <c r="B177" s="72" t="s">
        <v>111</v>
      </c>
      <c r="C177" s="73" t="s">
        <v>336</v>
      </c>
      <c r="D177" s="72" t="s">
        <v>50</v>
      </c>
      <c r="E177" s="72" t="s">
        <v>191</v>
      </c>
      <c r="F177" s="216">
        <v>45000</v>
      </c>
      <c r="G177" s="216">
        <f t="shared" si="52"/>
        <v>1291.5</v>
      </c>
      <c r="H177" s="216">
        <f t="shared" si="53"/>
        <v>1368</v>
      </c>
      <c r="I177" s="68"/>
      <c r="J177" s="69">
        <f t="shared" si="54"/>
        <v>2659.5</v>
      </c>
      <c r="K177" s="69">
        <f t="shared" si="55"/>
        <v>42340.5</v>
      </c>
      <c r="L177" s="215">
        <f t="shared" si="56"/>
        <v>1148.3248749999998</v>
      </c>
      <c r="M177" s="221">
        <v>225</v>
      </c>
      <c r="N177" s="215">
        <f>+M177+I177+H177+G177+L177</f>
        <v>4032.8248749999998</v>
      </c>
      <c r="O177" s="217">
        <f>+F177-N177</f>
        <v>40967.175125000002</v>
      </c>
      <c r="P177" s="219"/>
    </row>
    <row r="178" spans="1:16" s="148" customFormat="1" ht="41.25" customHeight="1" x14ac:dyDescent="0.2">
      <c r="A178" s="223" t="s">
        <v>99</v>
      </c>
      <c r="B178" s="224"/>
      <c r="C178" s="224"/>
      <c r="D178" s="224"/>
      <c r="E178" s="239"/>
      <c r="F178" s="225">
        <f t="shared" ref="F178:L178" si="57">SUM(F174:F177)</f>
        <v>335000</v>
      </c>
      <c r="G178" s="225">
        <f t="shared" si="57"/>
        <v>9614.5</v>
      </c>
      <c r="H178" s="225">
        <f t="shared" si="57"/>
        <v>10184</v>
      </c>
      <c r="I178" s="225">
        <f t="shared" si="57"/>
        <v>0</v>
      </c>
      <c r="J178" s="225">
        <f t="shared" si="57"/>
        <v>19798.5</v>
      </c>
      <c r="K178" s="225">
        <f t="shared" si="57"/>
        <v>315201.5</v>
      </c>
      <c r="L178" s="225">
        <f t="shared" si="57"/>
        <v>35112.386749999998</v>
      </c>
      <c r="M178" s="225">
        <f>SUM(M174:M177)</f>
        <v>8675.8700000000008</v>
      </c>
      <c r="N178" s="225">
        <f>SUM(N174:N177)</f>
        <v>63586.756749999993</v>
      </c>
      <c r="O178" s="225">
        <f>SUM(O174:O177)</f>
        <v>271413.24325</v>
      </c>
      <c r="P178" s="219"/>
    </row>
    <row r="179" spans="1:16" s="219" customFormat="1" ht="42.75" customHeight="1" thickBot="1" x14ac:dyDescent="0.25">
      <c r="A179" s="146"/>
      <c r="B179" s="146"/>
      <c r="C179" s="146"/>
      <c r="D179" s="146"/>
      <c r="E179" s="146"/>
      <c r="F179" s="218"/>
      <c r="G179" s="218"/>
      <c r="H179" s="218"/>
      <c r="I179" s="218"/>
      <c r="J179" s="218"/>
      <c r="K179" s="218"/>
      <c r="L179" s="218"/>
      <c r="M179" s="218"/>
      <c r="N179" s="218"/>
      <c r="O179" s="218"/>
    </row>
    <row r="180" spans="1:16" s="219" customFormat="1" ht="35.1" customHeight="1" thickBot="1" x14ac:dyDescent="0.25">
      <c r="A180" s="229" t="s">
        <v>171</v>
      </c>
      <c r="B180" s="230"/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</row>
    <row r="181" spans="1:16" s="219" customFormat="1" ht="35.1" customHeight="1" x14ac:dyDescent="0.2">
      <c r="A181" s="213">
        <f>+A177+1</f>
        <v>87</v>
      </c>
      <c r="B181" s="214" t="s">
        <v>153</v>
      </c>
      <c r="C181" s="213" t="s">
        <v>336</v>
      </c>
      <c r="D181" s="213" t="s">
        <v>240</v>
      </c>
      <c r="E181" s="214" t="s">
        <v>96</v>
      </c>
      <c r="F181" s="264">
        <v>60000</v>
      </c>
      <c r="G181" s="69">
        <f>F181*2.87%</f>
        <v>1722</v>
      </c>
      <c r="H181" s="69">
        <f>+F181*3.04%</f>
        <v>1824</v>
      </c>
      <c r="I181" s="265"/>
      <c r="J181" s="69">
        <f>+G181+H181+I181</f>
        <v>3546</v>
      </c>
      <c r="K181" s="69">
        <f>+F181-J181</f>
        <v>56454</v>
      </c>
      <c r="L181" s="69">
        <v>0</v>
      </c>
      <c r="M181" s="84">
        <v>11456.24</v>
      </c>
      <c r="N181" s="215">
        <f>+M181+I181+H181+G181+L181</f>
        <v>15002.24</v>
      </c>
      <c r="O181" s="84">
        <f>+F181-N181</f>
        <v>44997.760000000002</v>
      </c>
    </row>
    <row r="182" spans="1:16" s="148" customFormat="1" ht="35.1" customHeight="1" x14ac:dyDescent="0.2">
      <c r="A182" s="223" t="s">
        <v>99</v>
      </c>
      <c r="B182" s="224"/>
      <c r="C182" s="224"/>
      <c r="D182" s="224"/>
      <c r="E182" s="239"/>
      <c r="F182" s="225">
        <f t="shared" ref="F182:L182" si="58">SUM(F181)</f>
        <v>60000</v>
      </c>
      <c r="G182" s="225">
        <f t="shared" si="58"/>
        <v>1722</v>
      </c>
      <c r="H182" s="225">
        <f t="shared" si="58"/>
        <v>1824</v>
      </c>
      <c r="I182" s="225">
        <f t="shared" si="58"/>
        <v>0</v>
      </c>
      <c r="J182" s="225">
        <f t="shared" si="58"/>
        <v>3546</v>
      </c>
      <c r="K182" s="225">
        <f t="shared" si="58"/>
        <v>56454</v>
      </c>
      <c r="L182" s="225">
        <f t="shared" si="58"/>
        <v>0</v>
      </c>
      <c r="M182" s="225">
        <f>SUM(M181)</f>
        <v>11456.24</v>
      </c>
      <c r="N182" s="225">
        <f t="shared" ref="N182:O182" si="59">SUM(N181)</f>
        <v>15002.24</v>
      </c>
      <c r="O182" s="225">
        <f t="shared" si="59"/>
        <v>44997.760000000002</v>
      </c>
      <c r="P182" s="219"/>
    </row>
    <row r="183" spans="1:16" s="148" customFormat="1" ht="35.1" customHeight="1" thickBot="1" x14ac:dyDescent="0.25">
      <c r="A183" s="146"/>
      <c r="B183" s="146"/>
      <c r="C183" s="146"/>
      <c r="D183" s="146"/>
      <c r="E183" s="146"/>
      <c r="F183" s="266"/>
      <c r="G183" s="218"/>
      <c r="H183" s="218"/>
      <c r="I183" s="218"/>
      <c r="J183" s="218"/>
      <c r="K183" s="218"/>
      <c r="L183" s="218"/>
      <c r="M183" s="218"/>
      <c r="N183" s="218"/>
      <c r="O183" s="218"/>
      <c r="P183" s="219"/>
    </row>
    <row r="184" spans="1:16" s="219" customFormat="1" ht="44.25" customHeight="1" thickBot="1" x14ac:dyDescent="0.25">
      <c r="A184" s="229" t="s">
        <v>244</v>
      </c>
      <c r="B184" s="230"/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</row>
    <row r="185" spans="1:16" s="219" customFormat="1" ht="36.75" customHeight="1" x14ac:dyDescent="0.2">
      <c r="A185" s="213">
        <f>+A181+1</f>
        <v>88</v>
      </c>
      <c r="B185" s="72" t="s">
        <v>8</v>
      </c>
      <c r="C185" s="73" t="s">
        <v>336</v>
      </c>
      <c r="D185" s="88" t="s">
        <v>575</v>
      </c>
      <c r="E185" s="72" t="s">
        <v>96</v>
      </c>
      <c r="F185" s="216">
        <v>170000</v>
      </c>
      <c r="G185" s="69">
        <f>F185*2.87%</f>
        <v>4879</v>
      </c>
      <c r="H185" s="69">
        <f>+F185*3.04%</f>
        <v>5168</v>
      </c>
      <c r="I185" s="69">
        <v>0</v>
      </c>
      <c r="J185" s="69">
        <f>+G185+H185+I185</f>
        <v>10047</v>
      </c>
      <c r="K185" s="69">
        <f>+F185-J185</f>
        <v>159953</v>
      </c>
      <c r="L185" s="69">
        <f t="shared" ref="L185:L186" si="60">+IF(K185*12&lt;=416220.01,0,IF(K185*12&lt;=624329.01,(((K185*12-416220.01)*0.15)/12),IF((K185*12&lt;=867123.01),(31216+0.2*(K185*12-624329.01))/12,((79776+0.25*(K185*12-867123.01))/12))))</f>
        <v>28571.187291666665</v>
      </c>
      <c r="M185" s="84">
        <v>2450.29</v>
      </c>
      <c r="N185" s="215">
        <f>+M185+I185+H185+G185+L185</f>
        <v>41068.47729166667</v>
      </c>
      <c r="O185" s="84">
        <f>+F185-N185</f>
        <v>128931.52270833333</v>
      </c>
    </row>
    <row r="186" spans="1:16" s="219" customFormat="1" ht="46.5" customHeight="1" x14ac:dyDescent="0.2">
      <c r="A186" s="235">
        <f>+A185+1</f>
        <v>89</v>
      </c>
      <c r="B186" s="238" t="s">
        <v>78</v>
      </c>
      <c r="C186" s="235" t="s">
        <v>335</v>
      </c>
      <c r="D186" s="238" t="s">
        <v>74</v>
      </c>
      <c r="E186" s="238" t="s">
        <v>97</v>
      </c>
      <c r="F186" s="68">
        <v>80000</v>
      </c>
      <c r="G186" s="68">
        <f>F186*2.87%</f>
        <v>2296</v>
      </c>
      <c r="H186" s="216">
        <f>+F186*3.04%</f>
        <v>2432</v>
      </c>
      <c r="I186" s="216">
        <v>0</v>
      </c>
      <c r="J186" s="215">
        <f>+G186+H186+I186</f>
        <v>4728</v>
      </c>
      <c r="K186" s="215">
        <f>+F186-J186</f>
        <v>75272</v>
      </c>
      <c r="L186" s="69">
        <f t="shared" si="60"/>
        <v>7400.9372916666662</v>
      </c>
      <c r="M186" s="217">
        <v>6536.01</v>
      </c>
      <c r="N186" s="215">
        <f>+M186+I186+H186+G186+L186</f>
        <v>18664.947291666667</v>
      </c>
      <c r="O186" s="217">
        <f>+F186-N186</f>
        <v>61335.052708333329</v>
      </c>
    </row>
    <row r="187" spans="1:16" s="219" customFormat="1" ht="45" customHeight="1" thickBot="1" x14ac:dyDescent="0.25">
      <c r="A187" s="223" t="s">
        <v>99</v>
      </c>
      <c r="B187" s="224"/>
      <c r="C187" s="224"/>
      <c r="D187" s="224"/>
      <c r="E187" s="239"/>
      <c r="F187" s="225">
        <f t="shared" ref="F187:L187" si="61">SUM(F185:F186)</f>
        <v>250000</v>
      </c>
      <c r="G187" s="225">
        <f t="shared" si="61"/>
        <v>7175</v>
      </c>
      <c r="H187" s="225">
        <f t="shared" si="61"/>
        <v>7600</v>
      </c>
      <c r="I187" s="225">
        <f t="shared" si="61"/>
        <v>0</v>
      </c>
      <c r="J187" s="225">
        <f t="shared" si="61"/>
        <v>14775</v>
      </c>
      <c r="K187" s="225">
        <f t="shared" si="61"/>
        <v>235225</v>
      </c>
      <c r="L187" s="225">
        <f t="shared" si="61"/>
        <v>35972.124583333331</v>
      </c>
      <c r="M187" s="225">
        <f>SUM(M185:M186)</f>
        <v>8986.2999999999993</v>
      </c>
      <c r="N187" s="225">
        <f t="shared" ref="N187:O187" si="62">SUM(N185:N186)</f>
        <v>59733.424583333341</v>
      </c>
      <c r="O187" s="225">
        <f t="shared" si="62"/>
        <v>190266.57541666666</v>
      </c>
    </row>
    <row r="188" spans="1:16" s="148" customFormat="1" ht="46.5" customHeight="1" thickBot="1" x14ac:dyDescent="0.25">
      <c r="A188" s="208" t="s">
        <v>245</v>
      </c>
      <c r="B188" s="209"/>
      <c r="C188" s="209"/>
      <c r="D188" s="209"/>
      <c r="E188" s="209"/>
      <c r="F188" s="209"/>
      <c r="G188" s="209"/>
      <c r="H188" s="209"/>
      <c r="I188" s="209"/>
      <c r="J188" s="209"/>
      <c r="K188" s="209"/>
      <c r="L188" s="209"/>
      <c r="M188" s="209"/>
      <c r="N188" s="209"/>
      <c r="O188" s="209"/>
      <c r="P188" s="219"/>
    </row>
    <row r="189" spans="1:16" s="148" customFormat="1" ht="33" customHeight="1" x14ac:dyDescent="0.2">
      <c r="A189" s="237">
        <f>+A186+1</f>
        <v>90</v>
      </c>
      <c r="B189" s="72" t="s">
        <v>246</v>
      </c>
      <c r="C189" s="73" t="s">
        <v>335</v>
      </c>
      <c r="D189" s="72" t="s">
        <v>88</v>
      </c>
      <c r="E189" s="72" t="s">
        <v>97</v>
      </c>
      <c r="F189" s="216">
        <v>80000</v>
      </c>
      <c r="G189" s="68">
        <f>F189*2.87%</f>
        <v>2296</v>
      </c>
      <c r="H189" s="68">
        <f>+F189*3.04%</f>
        <v>2432</v>
      </c>
      <c r="I189" s="68"/>
      <c r="J189" s="69">
        <f>+G189+H189+I189</f>
        <v>4728</v>
      </c>
      <c r="K189" s="69">
        <f>+F189-J189</f>
        <v>75272</v>
      </c>
      <c r="L189" s="69">
        <f t="shared" ref="L189:L190" si="63">+IF(K189*12&lt;=416220.01,0,IF(K189*12&lt;=624329.01,(((K189*12-416220.01)*0.15)/12),IF((K189*12&lt;=867123.01),(31216+0.2*(K189*12-624329.01))/12,((79776+0.25*(K189*12-867123.01))/12))))</f>
        <v>7400.9372916666662</v>
      </c>
      <c r="M189" s="84">
        <v>28586.05</v>
      </c>
      <c r="N189" s="215">
        <f>+M189+I189+H189+G189+L189</f>
        <v>40714.987291666672</v>
      </c>
      <c r="O189" s="234">
        <f>+F189-N189</f>
        <v>39285.012708333328</v>
      </c>
      <c r="P189" s="219"/>
    </row>
    <row r="190" spans="1:16" s="148" customFormat="1" ht="33.75" customHeight="1" x14ac:dyDescent="0.2">
      <c r="A190" s="237">
        <f>+A189+1</f>
        <v>91</v>
      </c>
      <c r="B190" s="72" t="s">
        <v>513</v>
      </c>
      <c r="C190" s="73" t="s">
        <v>336</v>
      </c>
      <c r="D190" s="72" t="s">
        <v>512</v>
      </c>
      <c r="E190" s="72" t="s">
        <v>97</v>
      </c>
      <c r="F190" s="216">
        <v>80000</v>
      </c>
      <c r="G190" s="68">
        <f>F190*2.87%</f>
        <v>2296</v>
      </c>
      <c r="H190" s="68">
        <f>+F190*3.04%</f>
        <v>2432</v>
      </c>
      <c r="I190" s="68"/>
      <c r="J190" s="69">
        <f>+G190+H190+I190</f>
        <v>4728</v>
      </c>
      <c r="K190" s="69">
        <f>+F190-J190</f>
        <v>75272</v>
      </c>
      <c r="L190" s="69">
        <f t="shared" si="63"/>
        <v>7400.9372916666662</v>
      </c>
      <c r="M190" s="84">
        <v>5090.29</v>
      </c>
      <c r="N190" s="215">
        <f>+M190+I190+H190+G190+L190</f>
        <v>17219.227291666666</v>
      </c>
      <c r="O190" s="234">
        <f>+F190-N190</f>
        <v>62780.77270833333</v>
      </c>
      <c r="P190" s="219"/>
    </row>
    <row r="191" spans="1:16" s="148" customFormat="1" ht="33" customHeight="1" x14ac:dyDescent="0.2">
      <c r="A191" s="237">
        <f>+A190+1</f>
        <v>92</v>
      </c>
      <c r="B191" s="72" t="s">
        <v>283</v>
      </c>
      <c r="C191" s="73" t="s">
        <v>336</v>
      </c>
      <c r="D191" s="72" t="s">
        <v>516</v>
      </c>
      <c r="E191" s="72" t="s">
        <v>96</v>
      </c>
      <c r="F191" s="216">
        <v>45000</v>
      </c>
      <c r="G191" s="68">
        <f>F191*2.87%</f>
        <v>1291.5</v>
      </c>
      <c r="H191" s="68">
        <f>+F191*3.04%</f>
        <v>1368</v>
      </c>
      <c r="I191" s="68"/>
      <c r="J191" s="69">
        <f>+G191+H191+I191</f>
        <v>2659.5</v>
      </c>
      <c r="K191" s="69">
        <f>+F191-J191</f>
        <v>42340.5</v>
      </c>
      <c r="L191" s="69">
        <v>0</v>
      </c>
      <c r="M191" s="84">
        <v>6330.29</v>
      </c>
      <c r="N191" s="215">
        <f>+M191+I191+H191+G191+L191</f>
        <v>8989.7900000000009</v>
      </c>
      <c r="O191" s="234">
        <f>+F191-N191</f>
        <v>36010.21</v>
      </c>
      <c r="P191" s="219"/>
    </row>
    <row r="192" spans="1:16" s="219" customFormat="1" ht="28.5" customHeight="1" x14ac:dyDescent="0.2">
      <c r="A192" s="223" t="s">
        <v>99</v>
      </c>
      <c r="B192" s="224"/>
      <c r="C192" s="224"/>
      <c r="D192" s="224"/>
      <c r="E192" s="239"/>
      <c r="F192" s="225">
        <f t="shared" ref="F192:O192" si="64">SUM(F189:F191)</f>
        <v>205000</v>
      </c>
      <c r="G192" s="225">
        <f t="shared" si="64"/>
        <v>5883.5</v>
      </c>
      <c r="H192" s="225">
        <f t="shared" si="64"/>
        <v>6232</v>
      </c>
      <c r="I192" s="225">
        <f t="shared" si="64"/>
        <v>0</v>
      </c>
      <c r="J192" s="225">
        <f t="shared" si="64"/>
        <v>12115.5</v>
      </c>
      <c r="K192" s="225">
        <f t="shared" si="64"/>
        <v>192884.5</v>
      </c>
      <c r="L192" s="225">
        <f t="shared" si="64"/>
        <v>14801.874583333332</v>
      </c>
      <c r="M192" s="225">
        <f t="shared" si="64"/>
        <v>40006.629999999997</v>
      </c>
      <c r="N192" s="225">
        <f t="shared" si="64"/>
        <v>66924.004583333328</v>
      </c>
      <c r="O192" s="225">
        <f t="shared" si="64"/>
        <v>138075.99541666664</v>
      </c>
    </row>
    <row r="193" spans="1:16" s="252" customFormat="1" ht="31.5" customHeight="1" thickBot="1" x14ac:dyDescent="0.25">
      <c r="A193" s="203"/>
      <c r="B193" s="147"/>
      <c r="C193" s="203"/>
      <c r="D193" s="228"/>
      <c r="E193" s="228"/>
      <c r="F193" s="148"/>
      <c r="G193" s="149"/>
      <c r="H193" s="149"/>
      <c r="I193" s="149"/>
      <c r="J193" s="149"/>
      <c r="K193" s="149"/>
      <c r="L193" s="149"/>
      <c r="M193" s="149"/>
      <c r="N193" s="149"/>
      <c r="O193" s="149"/>
    </row>
    <row r="194" spans="1:16" s="219" customFormat="1" ht="35.1" customHeight="1" thickBot="1" x14ac:dyDescent="0.25">
      <c r="A194" s="208" t="s">
        <v>247</v>
      </c>
      <c r="B194" s="209"/>
      <c r="C194" s="209"/>
      <c r="D194" s="209"/>
      <c r="E194" s="209"/>
      <c r="F194" s="209"/>
      <c r="G194" s="209"/>
      <c r="H194" s="209"/>
      <c r="I194" s="209"/>
      <c r="J194" s="209"/>
      <c r="K194" s="209"/>
      <c r="L194" s="209"/>
      <c r="M194" s="209"/>
      <c r="N194" s="209"/>
      <c r="O194" s="209"/>
    </row>
    <row r="195" spans="1:16" s="148" customFormat="1" ht="35.1" customHeight="1" x14ac:dyDescent="0.2">
      <c r="A195" s="213">
        <f>+A191+1</f>
        <v>93</v>
      </c>
      <c r="B195" s="214" t="s">
        <v>249</v>
      </c>
      <c r="C195" s="213" t="s">
        <v>336</v>
      </c>
      <c r="D195" s="220" t="s">
        <v>530</v>
      </c>
      <c r="E195" s="72" t="s">
        <v>96</v>
      </c>
      <c r="F195" s="215">
        <v>145000</v>
      </c>
      <c r="G195" s="69">
        <f>F195*2.87%</f>
        <v>4161.5</v>
      </c>
      <c r="H195" s="69">
        <f>F195*3.04%</f>
        <v>4408</v>
      </c>
      <c r="I195" s="69">
        <v>1919.78</v>
      </c>
      <c r="J195" s="69">
        <f>+G195+H195+I195</f>
        <v>10489.28</v>
      </c>
      <c r="K195" s="69">
        <f>+F195-J195</f>
        <v>134510.72</v>
      </c>
      <c r="L195" s="69">
        <f t="shared" ref="L195" si="65">+IF(K195*12&lt;=416220.01,0,IF(K195*12&lt;=624329.01,(((K195*12-416220.01)*0.15)/12),IF((K195*12&lt;=867123.01),(31216+0.2*(K195*12-624329.01))/12,((79776+0.25*(K195*12-867123.01))/12))))</f>
        <v>22210.617291666669</v>
      </c>
      <c r="M195" s="84">
        <v>25</v>
      </c>
      <c r="N195" s="69">
        <f>+M195+I195+H195+G195+L195</f>
        <v>32724.897291666668</v>
      </c>
      <c r="O195" s="69">
        <f>+F195-N195</f>
        <v>112275.10270833333</v>
      </c>
      <c r="P195" s="219"/>
    </row>
    <row r="196" spans="1:16" s="219" customFormat="1" ht="35.1" customHeight="1" x14ac:dyDescent="0.2">
      <c r="A196" s="223" t="s">
        <v>99</v>
      </c>
      <c r="B196" s="224"/>
      <c r="C196" s="224"/>
      <c r="D196" s="224"/>
      <c r="E196" s="239"/>
      <c r="F196" s="225">
        <f t="shared" ref="F196:L196" si="66">SUM(F195:F195)</f>
        <v>145000</v>
      </c>
      <c r="G196" s="225">
        <f t="shared" si="66"/>
        <v>4161.5</v>
      </c>
      <c r="H196" s="225">
        <f t="shared" si="66"/>
        <v>4408</v>
      </c>
      <c r="I196" s="225">
        <f t="shared" si="66"/>
        <v>1919.78</v>
      </c>
      <c r="J196" s="225">
        <f t="shared" si="66"/>
        <v>10489.28</v>
      </c>
      <c r="K196" s="225">
        <f t="shared" si="66"/>
        <v>134510.72</v>
      </c>
      <c r="L196" s="225">
        <f t="shared" si="66"/>
        <v>22210.617291666669</v>
      </c>
      <c r="M196" s="225">
        <f>SUM(M195:M195)</f>
        <v>25</v>
      </c>
      <c r="N196" s="225">
        <f t="shared" ref="N196:O196" si="67">SUM(N195:N195)</f>
        <v>32724.897291666668</v>
      </c>
      <c r="O196" s="225">
        <f t="shared" si="67"/>
        <v>112275.10270833333</v>
      </c>
    </row>
    <row r="197" spans="1:16" s="148" customFormat="1" ht="35.1" customHeight="1" thickBot="1" x14ac:dyDescent="0.25">
      <c r="A197" s="146"/>
      <c r="B197" s="146"/>
      <c r="C197" s="146"/>
      <c r="D197" s="146"/>
      <c r="E197" s="146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219"/>
    </row>
    <row r="198" spans="1:16" s="148" customFormat="1" ht="35.1" customHeight="1" thickBot="1" x14ac:dyDescent="0.25">
      <c r="A198" s="229" t="s">
        <v>250</v>
      </c>
      <c r="B198" s="230"/>
      <c r="C198" s="230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0"/>
      <c r="O198" s="230"/>
      <c r="P198" s="219"/>
    </row>
    <row r="199" spans="1:16" s="219" customFormat="1" ht="35.1" customHeight="1" x14ac:dyDescent="0.2">
      <c r="A199" s="235">
        <f>+A195+1</f>
        <v>94</v>
      </c>
      <c r="B199" s="72" t="s">
        <v>86</v>
      </c>
      <c r="C199" s="73" t="s">
        <v>336</v>
      </c>
      <c r="D199" s="72" t="s">
        <v>87</v>
      </c>
      <c r="E199" s="72" t="s">
        <v>97</v>
      </c>
      <c r="F199" s="216">
        <v>100000</v>
      </c>
      <c r="G199" s="68">
        <f>F199*2.87%</f>
        <v>2870</v>
      </c>
      <c r="H199" s="68">
        <f>+F199*3.04%</f>
        <v>3040</v>
      </c>
      <c r="I199" s="68"/>
      <c r="J199" s="69">
        <f>+G199+H199+I199</f>
        <v>5910</v>
      </c>
      <c r="K199" s="69">
        <f>+F199-J199</f>
        <v>94090</v>
      </c>
      <c r="L199" s="69">
        <f t="shared" ref="L199" si="68">+IF(K199*12&lt;=416220.01,0,IF(K199*12&lt;=624329.01,(((K199*12-416220.01)*0.15)/12),IF((K199*12&lt;=867123.01),(31216+0.2*(K199*12-624329.01))/12,((79776+0.25*(K199*12-867123.01))/12))))</f>
        <v>12105.437291666667</v>
      </c>
      <c r="M199" s="217">
        <v>25</v>
      </c>
      <c r="N199" s="215">
        <f>+M199+I199+H199+G199+L199</f>
        <v>18040.437291666669</v>
      </c>
      <c r="O199" s="69">
        <f>+F199-N199</f>
        <v>81959.562708333338</v>
      </c>
    </row>
    <row r="200" spans="1:16" s="148" customFormat="1" ht="35.1" customHeight="1" x14ac:dyDescent="0.2">
      <c r="A200" s="223" t="s">
        <v>99</v>
      </c>
      <c r="B200" s="224"/>
      <c r="C200" s="224"/>
      <c r="D200" s="224"/>
      <c r="E200" s="239"/>
      <c r="F200" s="225">
        <f>SUM(F199)</f>
        <v>100000</v>
      </c>
      <c r="G200" s="225">
        <f t="shared" ref="G200:O200" si="69">SUM(G199)</f>
        <v>2870</v>
      </c>
      <c r="H200" s="225">
        <f t="shared" si="69"/>
        <v>3040</v>
      </c>
      <c r="I200" s="225">
        <f t="shared" si="69"/>
        <v>0</v>
      </c>
      <c r="J200" s="225">
        <f t="shared" si="69"/>
        <v>5910</v>
      </c>
      <c r="K200" s="225">
        <f t="shared" si="69"/>
        <v>94090</v>
      </c>
      <c r="L200" s="225">
        <f t="shared" si="69"/>
        <v>12105.437291666667</v>
      </c>
      <c r="M200" s="225">
        <f t="shared" si="69"/>
        <v>25</v>
      </c>
      <c r="N200" s="225">
        <f t="shared" si="69"/>
        <v>18040.437291666669</v>
      </c>
      <c r="O200" s="225">
        <f t="shared" si="69"/>
        <v>81959.562708333338</v>
      </c>
      <c r="P200" s="219"/>
    </row>
    <row r="201" spans="1:16" s="148" customFormat="1" ht="35.1" customHeight="1" thickBot="1" x14ac:dyDescent="0.25">
      <c r="A201" s="227"/>
      <c r="B201" s="260"/>
      <c r="C201" s="261"/>
      <c r="D201" s="260"/>
      <c r="E201" s="260"/>
      <c r="F201" s="262"/>
      <c r="P201" s="219"/>
    </row>
    <row r="202" spans="1:16" s="148" customFormat="1" ht="35.1" customHeight="1" x14ac:dyDescent="0.2">
      <c r="A202" s="267" t="s">
        <v>172</v>
      </c>
      <c r="B202" s="268"/>
      <c r="C202" s="268"/>
      <c r="D202" s="268"/>
      <c r="E202" s="268"/>
      <c r="F202" s="268"/>
      <c r="G202" s="268"/>
      <c r="H202" s="268"/>
      <c r="I202" s="268"/>
      <c r="J202" s="268"/>
      <c r="K202" s="268"/>
      <c r="L202" s="268"/>
      <c r="M202" s="268"/>
      <c r="N202" s="268"/>
      <c r="O202" s="268"/>
      <c r="P202" s="219"/>
    </row>
    <row r="203" spans="1:16" s="148" customFormat="1" ht="35.1" customHeight="1" x14ac:dyDescent="0.2">
      <c r="A203" s="73">
        <f>+A199+1</f>
        <v>95</v>
      </c>
      <c r="B203" s="72" t="s">
        <v>517</v>
      </c>
      <c r="C203" s="73" t="s">
        <v>336</v>
      </c>
      <c r="D203" s="72" t="s">
        <v>518</v>
      </c>
      <c r="E203" s="263" t="s">
        <v>191</v>
      </c>
      <c r="F203" s="216">
        <v>60000</v>
      </c>
      <c r="G203" s="216">
        <f>F203*2.87%</f>
        <v>1722</v>
      </c>
      <c r="H203" s="216">
        <f>+F203*3.04%</f>
        <v>1824</v>
      </c>
      <c r="I203" s="216">
        <f>1919.78*2</f>
        <v>3839.56</v>
      </c>
      <c r="J203" s="215">
        <f>+G203+H203+I203</f>
        <v>7385.5599999999995</v>
      </c>
      <c r="K203" s="215">
        <f>+F203-J203</f>
        <v>52614.44</v>
      </c>
      <c r="L203" s="69">
        <v>1138.1600000000001</v>
      </c>
      <c r="M203" s="217">
        <v>7756.36</v>
      </c>
      <c r="N203" s="215">
        <f>+M203+I203+H203+G203+L203</f>
        <v>16280.08</v>
      </c>
      <c r="O203" s="69">
        <f>+F203-N203</f>
        <v>43719.92</v>
      </c>
      <c r="P203" s="219"/>
    </row>
    <row r="204" spans="1:16" s="219" customFormat="1" ht="35.1" customHeight="1" x14ac:dyDescent="0.2">
      <c r="A204" s="73">
        <f>+A203+1</f>
        <v>96</v>
      </c>
      <c r="B204" s="72" t="s">
        <v>442</v>
      </c>
      <c r="C204" s="73" t="s">
        <v>336</v>
      </c>
      <c r="D204" s="72" t="s">
        <v>13</v>
      </c>
      <c r="E204" s="263" t="s">
        <v>191</v>
      </c>
      <c r="F204" s="216">
        <v>45000</v>
      </c>
      <c r="G204" s="216">
        <f>F204*2.87%</f>
        <v>1291.5</v>
      </c>
      <c r="H204" s="216">
        <f>+F204*3.04%</f>
        <v>1368</v>
      </c>
      <c r="I204" s="216"/>
      <c r="J204" s="215">
        <f>+G204+H204+I204</f>
        <v>2659.5</v>
      </c>
      <c r="K204" s="215">
        <f t="shared" ref="K204" si="70">+F204-J204</f>
        <v>42340.5</v>
      </c>
      <c r="L204" s="69">
        <v>0</v>
      </c>
      <c r="M204" s="217">
        <v>4104.92</v>
      </c>
      <c r="N204" s="215">
        <f>+M204+I204+H204+G204+L204</f>
        <v>6764.42</v>
      </c>
      <c r="O204" s="69">
        <f>+F204-N204</f>
        <v>38235.58</v>
      </c>
    </row>
    <row r="205" spans="1:16" s="148" customFormat="1" ht="35.1" customHeight="1" x14ac:dyDescent="0.2">
      <c r="A205" s="73">
        <v>97</v>
      </c>
      <c r="B205" s="72" t="s">
        <v>606</v>
      </c>
      <c r="C205" s="73" t="s">
        <v>336</v>
      </c>
      <c r="D205" s="72" t="s">
        <v>480</v>
      </c>
      <c r="E205" s="263" t="s">
        <v>191</v>
      </c>
      <c r="F205" s="216">
        <v>38000</v>
      </c>
      <c r="G205" s="216">
        <f>F205*2.87%</f>
        <v>1090.5999999999999</v>
      </c>
      <c r="H205" s="216">
        <f>+F205*3.04%</f>
        <v>1155.2</v>
      </c>
      <c r="I205" s="216">
        <v>1919.78</v>
      </c>
      <c r="J205" s="215">
        <f>+G205+H205+I205</f>
        <v>4165.58</v>
      </c>
      <c r="K205" s="215">
        <f>+F205-J205</f>
        <v>33834.42</v>
      </c>
      <c r="L205" s="69">
        <f t="shared" ref="L205" si="71">+IF(K205*12&lt;=416220.01,0,IF(K205*12&lt;=624329.01,(((K205*12-416220.01)*0.15)/12),IF((K205*12&lt;=867123.01),(31216+0.2*(K205*12-624329.01))/12,((79776+0.25*(K205*12-867123.01))/12))))</f>
        <v>0</v>
      </c>
      <c r="M205" s="217">
        <v>225</v>
      </c>
      <c r="N205" s="215">
        <f>+M205+I205+H205+G205+L205</f>
        <v>4390.58</v>
      </c>
      <c r="O205" s="69">
        <f>+F205-N205</f>
        <v>33609.42</v>
      </c>
      <c r="P205" s="219"/>
    </row>
    <row r="206" spans="1:16" s="148" customFormat="1" ht="33" customHeight="1" x14ac:dyDescent="0.2">
      <c r="A206" s="223" t="s">
        <v>99</v>
      </c>
      <c r="B206" s="224"/>
      <c r="C206" s="224"/>
      <c r="D206" s="224"/>
      <c r="E206" s="239"/>
      <c r="F206" s="225">
        <f t="shared" ref="F206:O206" si="72">SUM(F203:F205)</f>
        <v>143000</v>
      </c>
      <c r="G206" s="225">
        <f t="shared" si="72"/>
        <v>4104.1000000000004</v>
      </c>
      <c r="H206" s="225">
        <f t="shared" si="72"/>
        <v>4347.2</v>
      </c>
      <c r="I206" s="225">
        <f t="shared" si="72"/>
        <v>5759.34</v>
      </c>
      <c r="J206" s="225">
        <f t="shared" si="72"/>
        <v>14210.64</v>
      </c>
      <c r="K206" s="225">
        <f t="shared" si="72"/>
        <v>128789.36</v>
      </c>
      <c r="L206" s="225">
        <f t="shared" si="72"/>
        <v>1138.1600000000001</v>
      </c>
      <c r="M206" s="225">
        <f t="shared" si="72"/>
        <v>12086.279999999999</v>
      </c>
      <c r="N206" s="225">
        <f>SUM(N203:N205)</f>
        <v>27435.08</v>
      </c>
      <c r="O206" s="225">
        <f t="shared" si="72"/>
        <v>115564.92</v>
      </c>
      <c r="P206" s="219"/>
    </row>
    <row r="207" spans="1:16" s="219" customFormat="1" ht="35.1" customHeight="1" thickBot="1" x14ac:dyDescent="0.25">
      <c r="A207" s="269"/>
      <c r="B207" s="270"/>
      <c r="C207" s="146"/>
      <c r="D207" s="271"/>
      <c r="E207" s="271"/>
      <c r="F207" s="226"/>
      <c r="G207" s="226"/>
      <c r="H207" s="226"/>
      <c r="I207" s="226"/>
      <c r="J207" s="226"/>
      <c r="K207" s="226"/>
      <c r="L207" s="226"/>
      <c r="M207" s="226"/>
      <c r="N207" s="226"/>
      <c r="O207" s="226"/>
    </row>
    <row r="208" spans="1:16" s="218" customFormat="1" ht="35.1" customHeight="1" thickBot="1" x14ac:dyDescent="0.25">
      <c r="A208" s="229" t="s">
        <v>64</v>
      </c>
      <c r="B208" s="230"/>
      <c r="C208" s="230"/>
      <c r="D208" s="230"/>
      <c r="E208" s="230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</row>
    <row r="209" spans="1:16" s="219" customFormat="1" ht="35.1" customHeight="1" x14ac:dyDescent="0.2">
      <c r="A209" s="235">
        <f>+A205+1</f>
        <v>98</v>
      </c>
      <c r="B209" s="72" t="s">
        <v>7</v>
      </c>
      <c r="C209" s="73" t="s">
        <v>336</v>
      </c>
      <c r="D209" s="72" t="s">
        <v>72</v>
      </c>
      <c r="E209" s="72" t="s">
        <v>97</v>
      </c>
      <c r="F209" s="216">
        <v>60000</v>
      </c>
      <c r="G209" s="216">
        <f>F209*2.87%</f>
        <v>1722</v>
      </c>
      <c r="H209" s="68">
        <f>+F209*3.04%</f>
        <v>1824</v>
      </c>
      <c r="I209" s="68"/>
      <c r="J209" s="69">
        <f>+G209+H209+I209</f>
        <v>3546</v>
      </c>
      <c r="K209" s="69">
        <f>+F209-J209</f>
        <v>56454</v>
      </c>
      <c r="L209" s="69">
        <v>0</v>
      </c>
      <c r="M209" s="68">
        <v>2790.29</v>
      </c>
      <c r="N209" s="215">
        <f>+M209+I209+H209+G209+L209</f>
        <v>6336.29</v>
      </c>
      <c r="O209" s="69">
        <f>+F209-N209</f>
        <v>53663.71</v>
      </c>
    </row>
    <row r="210" spans="1:16" s="148" customFormat="1" ht="35.25" customHeight="1" x14ac:dyDescent="0.2">
      <c r="A210" s="223" t="s">
        <v>99</v>
      </c>
      <c r="B210" s="224"/>
      <c r="C210" s="224"/>
      <c r="D210" s="224"/>
      <c r="E210" s="239"/>
      <c r="F210" s="225">
        <f>SUM(F209:F209)</f>
        <v>60000</v>
      </c>
      <c r="G210" s="225">
        <f t="shared" ref="G210:O210" si="73">SUM(G209:G209)</f>
        <v>1722</v>
      </c>
      <c r="H210" s="225">
        <f t="shared" si="73"/>
        <v>1824</v>
      </c>
      <c r="I210" s="225">
        <f t="shared" si="73"/>
        <v>0</v>
      </c>
      <c r="J210" s="225">
        <f t="shared" si="73"/>
        <v>3546</v>
      </c>
      <c r="K210" s="225">
        <f>SUM(K209:K209)</f>
        <v>56454</v>
      </c>
      <c r="L210" s="225">
        <f t="shared" si="73"/>
        <v>0</v>
      </c>
      <c r="M210" s="225">
        <f t="shared" si="73"/>
        <v>2790.29</v>
      </c>
      <c r="N210" s="225">
        <f t="shared" si="73"/>
        <v>6336.29</v>
      </c>
      <c r="O210" s="225">
        <f t="shared" si="73"/>
        <v>53663.71</v>
      </c>
      <c r="P210" s="219"/>
    </row>
    <row r="211" spans="1:16" s="219" customFormat="1" ht="35.1" customHeight="1" thickBot="1" x14ac:dyDescent="0.25">
      <c r="A211" s="146"/>
      <c r="B211" s="146"/>
      <c r="C211" s="146"/>
      <c r="D211" s="146"/>
      <c r="E211" s="146"/>
      <c r="F211" s="218"/>
      <c r="G211" s="218"/>
      <c r="H211" s="218"/>
      <c r="I211" s="218"/>
      <c r="J211" s="218"/>
      <c r="K211" s="218"/>
      <c r="L211" s="218"/>
      <c r="M211" s="218"/>
      <c r="N211" s="218"/>
      <c r="O211" s="218"/>
    </row>
    <row r="212" spans="1:16" s="148" customFormat="1" ht="35.1" customHeight="1" thickBot="1" x14ac:dyDescent="0.25">
      <c r="A212" s="229" t="s">
        <v>145</v>
      </c>
      <c r="B212" s="230"/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19"/>
    </row>
    <row r="213" spans="1:16" s="148" customFormat="1" ht="35.1" customHeight="1" x14ac:dyDescent="0.2">
      <c r="A213" s="73">
        <f>+A209+1</f>
        <v>99</v>
      </c>
      <c r="B213" s="72" t="s">
        <v>393</v>
      </c>
      <c r="C213" s="73" t="s">
        <v>335</v>
      </c>
      <c r="D213" s="72" t="s">
        <v>164</v>
      </c>
      <c r="E213" s="72" t="s">
        <v>191</v>
      </c>
      <c r="F213" s="216">
        <v>60000</v>
      </c>
      <c r="G213" s="216">
        <f>F213*2.87%</f>
        <v>1722</v>
      </c>
      <c r="H213" s="216">
        <f>+F213*3.04%</f>
        <v>1824</v>
      </c>
      <c r="I213" s="216"/>
      <c r="J213" s="69">
        <f>+G213+H213+I213</f>
        <v>3546</v>
      </c>
      <c r="K213" s="69">
        <f>+F213-J213</f>
        <v>56454</v>
      </c>
      <c r="L213" s="69">
        <v>0</v>
      </c>
      <c r="M213" s="234">
        <v>25</v>
      </c>
      <c r="N213" s="215">
        <f>+M213+I213+H213+G213+L213</f>
        <v>3571</v>
      </c>
      <c r="O213" s="215">
        <f>+F213-N213</f>
        <v>56429</v>
      </c>
      <c r="P213" s="219"/>
    </row>
    <row r="214" spans="1:16" s="148" customFormat="1" ht="35.1" customHeight="1" x14ac:dyDescent="0.2">
      <c r="A214" s="223" t="s">
        <v>99</v>
      </c>
      <c r="B214" s="224"/>
      <c r="C214" s="224"/>
      <c r="D214" s="224"/>
      <c r="E214" s="239"/>
      <c r="F214" s="225">
        <f t="shared" ref="F214:L214" si="74">SUM(F213:F213)</f>
        <v>60000</v>
      </c>
      <c r="G214" s="225">
        <f t="shared" si="74"/>
        <v>1722</v>
      </c>
      <c r="H214" s="225">
        <f t="shared" si="74"/>
        <v>1824</v>
      </c>
      <c r="I214" s="225">
        <f t="shared" si="74"/>
        <v>0</v>
      </c>
      <c r="J214" s="225">
        <f t="shared" si="74"/>
        <v>3546</v>
      </c>
      <c r="K214" s="225">
        <f t="shared" si="74"/>
        <v>56454</v>
      </c>
      <c r="L214" s="225">
        <f t="shared" si="74"/>
        <v>0</v>
      </c>
      <c r="M214" s="225">
        <f>SUM(M213:M213)</f>
        <v>25</v>
      </c>
      <c r="N214" s="225">
        <f t="shared" ref="N214:O214" si="75">SUM(N213:N213)</f>
        <v>3571</v>
      </c>
      <c r="O214" s="225">
        <f t="shared" si="75"/>
        <v>56429</v>
      </c>
      <c r="P214" s="219"/>
    </row>
    <row r="215" spans="1:16" s="219" customFormat="1" ht="35.1" customHeight="1" thickBot="1" x14ac:dyDescent="0.25">
      <c r="A215" s="203"/>
      <c r="B215" s="147"/>
      <c r="C215" s="203"/>
      <c r="D215" s="147"/>
      <c r="E215" s="147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</row>
    <row r="216" spans="1:16" s="252" customFormat="1" ht="35.1" customHeight="1" thickBot="1" x14ac:dyDescent="0.25">
      <c r="A216" s="229" t="s">
        <v>146</v>
      </c>
      <c r="B216" s="230"/>
      <c r="C216" s="230"/>
      <c r="D216" s="230"/>
      <c r="E216" s="230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</row>
    <row r="217" spans="1:16" s="252" customFormat="1" ht="35.1" customHeight="1" x14ac:dyDescent="0.2">
      <c r="A217" s="235">
        <f>+A213+1</f>
        <v>100</v>
      </c>
      <c r="B217" s="72" t="s">
        <v>159</v>
      </c>
      <c r="C217" s="73" t="s">
        <v>335</v>
      </c>
      <c r="D217" s="72" t="s">
        <v>6</v>
      </c>
      <c r="E217" s="72" t="s">
        <v>97</v>
      </c>
      <c r="F217" s="216">
        <v>80000</v>
      </c>
      <c r="G217" s="216">
        <f>F217*2.87%</f>
        <v>2296</v>
      </c>
      <c r="H217" s="68">
        <f>+F217*3.04%</f>
        <v>2432</v>
      </c>
      <c r="I217" s="68"/>
      <c r="J217" s="69">
        <f>+G217+H217+I217</f>
        <v>4728</v>
      </c>
      <c r="K217" s="69">
        <f>+F217-J217</f>
        <v>75272</v>
      </c>
      <c r="L217" s="69">
        <v>0</v>
      </c>
      <c r="M217" s="84">
        <v>3521.07</v>
      </c>
      <c r="N217" s="215">
        <f>+M217+I217+H217+G217+L217</f>
        <v>8249.07</v>
      </c>
      <c r="O217" s="84">
        <f>+F217-N217</f>
        <v>71750.929999999993</v>
      </c>
    </row>
    <row r="218" spans="1:16" s="148" customFormat="1" ht="35.1" customHeight="1" x14ac:dyDescent="0.2">
      <c r="A218" s="237">
        <f>+A217+1</f>
        <v>101</v>
      </c>
      <c r="B218" s="214" t="s">
        <v>251</v>
      </c>
      <c r="C218" s="213" t="s">
        <v>335</v>
      </c>
      <c r="D218" s="214" t="s">
        <v>164</v>
      </c>
      <c r="E218" s="214" t="s">
        <v>191</v>
      </c>
      <c r="F218" s="215">
        <v>60000</v>
      </c>
      <c r="G218" s="215">
        <f>F218*2.87%</f>
        <v>1722</v>
      </c>
      <c r="H218" s="69">
        <f>+F218*3.04%</f>
        <v>1824</v>
      </c>
      <c r="I218" s="69"/>
      <c r="J218" s="69">
        <f>+G218+H218+I218</f>
        <v>3546</v>
      </c>
      <c r="K218" s="69">
        <f t="shared" ref="K218" si="76">+F218-J218</f>
        <v>56454</v>
      </c>
      <c r="L218" s="69">
        <f t="shared" ref="L218" si="77">+IF(K218*12&lt;=416220.01,0,IF(K218*12&lt;=624329.01,(((K218*12-416220.01)*0.15)/12),IF((K218*12&lt;=867123.01),(31216+0.2*(K218*12-624329.01))/12,((79776+0.25*(K218*12-867123.01))/12))))</f>
        <v>3486.6498333333329</v>
      </c>
      <c r="M218" s="84">
        <v>225</v>
      </c>
      <c r="N218" s="215">
        <f>+M218+I218+H218+G218+L218</f>
        <v>7257.6498333333329</v>
      </c>
      <c r="O218" s="69">
        <f>+F218-N218</f>
        <v>52742.350166666671</v>
      </c>
      <c r="P218" s="219"/>
    </row>
    <row r="219" spans="1:16" s="219" customFormat="1" ht="35.1" customHeight="1" x14ac:dyDescent="0.2">
      <c r="A219" s="223" t="s">
        <v>99</v>
      </c>
      <c r="B219" s="224"/>
      <c r="C219" s="224"/>
      <c r="D219" s="224"/>
      <c r="E219" s="239"/>
      <c r="F219" s="225">
        <f t="shared" ref="F219:O219" si="78">SUM(F217:F218)</f>
        <v>140000</v>
      </c>
      <c r="G219" s="225">
        <f t="shared" si="78"/>
        <v>4018</v>
      </c>
      <c r="H219" s="225">
        <f t="shared" si="78"/>
        <v>4256</v>
      </c>
      <c r="I219" s="225">
        <f t="shared" si="78"/>
        <v>0</v>
      </c>
      <c r="J219" s="225">
        <f t="shared" si="78"/>
        <v>8274</v>
      </c>
      <c r="K219" s="225">
        <f t="shared" si="78"/>
        <v>131726</v>
      </c>
      <c r="L219" s="225">
        <f t="shared" si="78"/>
        <v>3486.6498333333329</v>
      </c>
      <c r="M219" s="225">
        <f t="shared" si="78"/>
        <v>3746.07</v>
      </c>
      <c r="N219" s="225">
        <f t="shared" si="78"/>
        <v>15506.719833333333</v>
      </c>
      <c r="O219" s="225">
        <f t="shared" si="78"/>
        <v>124493.28016666666</v>
      </c>
    </row>
    <row r="220" spans="1:16" s="219" customFormat="1" ht="22.9" customHeight="1" thickBot="1" x14ac:dyDescent="0.25">
      <c r="A220" s="203"/>
      <c r="B220" s="147"/>
      <c r="C220" s="203"/>
      <c r="D220" s="147"/>
      <c r="E220" s="147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</row>
    <row r="221" spans="1:16" s="219" customFormat="1" ht="35.1" customHeight="1" thickBot="1" x14ac:dyDescent="0.25">
      <c r="A221" s="375" t="s">
        <v>252</v>
      </c>
      <c r="B221" s="376"/>
      <c r="C221" s="376"/>
      <c r="D221" s="376"/>
      <c r="E221" s="246"/>
      <c r="F221" s="246"/>
      <c r="G221" s="246"/>
      <c r="H221" s="246"/>
      <c r="I221" s="246"/>
      <c r="J221" s="246"/>
      <c r="K221" s="246"/>
      <c r="L221" s="246"/>
      <c r="M221" s="246"/>
      <c r="N221" s="246"/>
      <c r="O221" s="246"/>
    </row>
    <row r="222" spans="1:16" s="148" customFormat="1" ht="35.1" customHeight="1" thickBot="1" x14ac:dyDescent="0.25">
      <c r="A222" s="208" t="s">
        <v>253</v>
      </c>
      <c r="B222" s="209"/>
      <c r="C222" s="209"/>
      <c r="D222" s="209"/>
      <c r="E222" s="209"/>
      <c r="F222" s="209"/>
      <c r="G222" s="209"/>
      <c r="H222" s="209"/>
      <c r="I222" s="209"/>
      <c r="J222" s="209"/>
      <c r="K222" s="209"/>
      <c r="L222" s="209"/>
      <c r="M222" s="289"/>
      <c r="N222" s="209"/>
      <c r="O222" s="209"/>
      <c r="P222" s="219"/>
    </row>
    <row r="223" spans="1:16" s="219" customFormat="1" ht="35.1" customHeight="1" x14ac:dyDescent="0.2">
      <c r="A223" s="235">
        <f>+A218+1</f>
        <v>102</v>
      </c>
      <c r="B223" s="72" t="s">
        <v>10</v>
      </c>
      <c r="C223" s="73" t="s">
        <v>335</v>
      </c>
      <c r="D223" s="88" t="s">
        <v>254</v>
      </c>
      <c r="E223" s="72" t="s">
        <v>97</v>
      </c>
      <c r="F223" s="68">
        <v>70000</v>
      </c>
      <c r="G223" s="68">
        <f>F223*2.87%</f>
        <v>2009</v>
      </c>
      <c r="H223" s="68">
        <f>+F223*3.04%</f>
        <v>2128</v>
      </c>
      <c r="I223" s="68"/>
      <c r="J223" s="69">
        <f>+G223+H223+I223</f>
        <v>4137</v>
      </c>
      <c r="K223" s="69">
        <f>+F223-J223</f>
        <v>65863</v>
      </c>
      <c r="L223" s="69">
        <v>0</v>
      </c>
      <c r="M223" s="217">
        <v>23317.040000000001</v>
      </c>
      <c r="N223" s="215">
        <f>+M223+I223+H223+G223+L223</f>
        <v>27454.04</v>
      </c>
      <c r="O223" s="84">
        <f>+F223-N223</f>
        <v>42545.96</v>
      </c>
    </row>
    <row r="224" spans="1:16" s="148" customFormat="1" ht="35.1" customHeight="1" x14ac:dyDescent="0.2">
      <c r="A224" s="223" t="s">
        <v>99</v>
      </c>
      <c r="B224" s="224"/>
      <c r="C224" s="224"/>
      <c r="D224" s="224"/>
      <c r="E224" s="239"/>
      <c r="F224" s="225">
        <f t="shared" ref="F224:L224" si="79">SUM(F223:F223)</f>
        <v>70000</v>
      </c>
      <c r="G224" s="225">
        <f t="shared" si="79"/>
        <v>2009</v>
      </c>
      <c r="H224" s="225">
        <f t="shared" si="79"/>
        <v>2128</v>
      </c>
      <c r="I224" s="225">
        <f t="shared" si="79"/>
        <v>0</v>
      </c>
      <c r="J224" s="225">
        <f t="shared" si="79"/>
        <v>4137</v>
      </c>
      <c r="K224" s="225">
        <f t="shared" si="79"/>
        <v>65863</v>
      </c>
      <c r="L224" s="225">
        <f t="shared" si="79"/>
        <v>0</v>
      </c>
      <c r="M224" s="225">
        <f>SUM(M223:M223)</f>
        <v>23317.040000000001</v>
      </c>
      <c r="N224" s="225">
        <f>SUM(N223:N223)</f>
        <v>27454.04</v>
      </c>
      <c r="O224" s="225">
        <f>SUM(O223:O223)</f>
        <v>42545.96</v>
      </c>
      <c r="P224" s="219"/>
    </row>
    <row r="225" spans="1:16" s="148" customFormat="1" ht="35.1" customHeight="1" thickBot="1" x14ac:dyDescent="0.25">
      <c r="A225" s="146"/>
      <c r="B225" s="146"/>
      <c r="C225" s="146"/>
      <c r="D225" s="146"/>
      <c r="E225" s="146"/>
      <c r="F225" s="218"/>
      <c r="G225" s="218"/>
      <c r="H225" s="218"/>
      <c r="I225" s="218"/>
      <c r="J225" s="218"/>
      <c r="K225" s="218"/>
      <c r="L225" s="218"/>
      <c r="M225" s="218"/>
      <c r="N225" s="218"/>
      <c r="O225" s="218"/>
      <c r="P225" s="219"/>
    </row>
    <row r="226" spans="1:16" s="148" customFormat="1" ht="35.1" customHeight="1" thickBot="1" x14ac:dyDescent="0.25">
      <c r="A226" s="208" t="s">
        <v>256</v>
      </c>
      <c r="B226" s="209"/>
      <c r="C226" s="209"/>
      <c r="D226" s="209"/>
      <c r="E226" s="209"/>
      <c r="F226" s="209"/>
      <c r="G226" s="209"/>
      <c r="H226" s="209"/>
      <c r="I226" s="209"/>
      <c r="J226" s="209"/>
      <c r="K226" s="209"/>
      <c r="L226" s="209"/>
      <c r="M226" s="209"/>
      <c r="N226" s="209"/>
      <c r="O226" s="209"/>
      <c r="P226" s="219"/>
    </row>
    <row r="227" spans="1:16" s="148" customFormat="1" ht="35.1" customHeight="1" x14ac:dyDescent="0.2">
      <c r="A227" s="235">
        <f>+A223+1</f>
        <v>103</v>
      </c>
      <c r="B227" s="72" t="s">
        <v>255</v>
      </c>
      <c r="C227" s="73" t="s">
        <v>335</v>
      </c>
      <c r="D227" s="88" t="s">
        <v>73</v>
      </c>
      <c r="E227" s="72" t="s">
        <v>97</v>
      </c>
      <c r="F227" s="216">
        <v>95000</v>
      </c>
      <c r="G227" s="216">
        <f>F227*2.87%</f>
        <v>2726.5</v>
      </c>
      <c r="H227" s="216">
        <f>+F227*3.04%</f>
        <v>2888</v>
      </c>
      <c r="I227" s="68">
        <v>1919.78</v>
      </c>
      <c r="J227" s="69">
        <f t="shared" ref="J227:J285" si="80">+G227+H227+I227</f>
        <v>7534.28</v>
      </c>
      <c r="K227" s="69">
        <f>+F227-J227</f>
        <v>87465.72</v>
      </c>
      <c r="L227" s="69">
        <f t="shared" ref="L227" si="81">+IF(K227*12&lt;=416220.01,0,IF(K227*12&lt;=624329.01,(((K227*12-416220.01)*0.15)/12),IF((K227*12&lt;=867123.01),(31216+0.2*(K227*12-624329.01))/12,((79776+0.25*(K227*12-867123.01))/12))))</f>
        <v>10449.367291666669</v>
      </c>
      <c r="M227" s="84">
        <v>225</v>
      </c>
      <c r="N227" s="215">
        <f>+M227+I227+H227+G227+L227</f>
        <v>18208.647291666668</v>
      </c>
      <c r="O227" s="84">
        <f>+F227-N227</f>
        <v>76791.352708333332</v>
      </c>
      <c r="P227" s="219"/>
    </row>
    <row r="228" spans="1:16" s="148" customFormat="1" ht="35.1" customHeight="1" x14ac:dyDescent="0.2">
      <c r="A228" s="223" t="s">
        <v>99</v>
      </c>
      <c r="B228" s="224"/>
      <c r="C228" s="224"/>
      <c r="D228" s="224"/>
      <c r="E228" s="239"/>
      <c r="F228" s="225">
        <f t="shared" ref="F228:L228" si="82">SUM(F227:F227)</f>
        <v>95000</v>
      </c>
      <c r="G228" s="225">
        <f t="shared" si="82"/>
        <v>2726.5</v>
      </c>
      <c r="H228" s="225">
        <f t="shared" si="82"/>
        <v>2888</v>
      </c>
      <c r="I228" s="225">
        <f t="shared" si="82"/>
        <v>1919.78</v>
      </c>
      <c r="J228" s="225">
        <f t="shared" si="82"/>
        <v>7534.28</v>
      </c>
      <c r="K228" s="225">
        <f t="shared" si="82"/>
        <v>87465.72</v>
      </c>
      <c r="L228" s="225">
        <f t="shared" si="82"/>
        <v>10449.367291666669</v>
      </c>
      <c r="M228" s="225">
        <f>SUM(M227:M227)</f>
        <v>225</v>
      </c>
      <c r="N228" s="225">
        <f t="shared" ref="N228:O228" si="83">SUM(N227:N227)</f>
        <v>18208.647291666668</v>
      </c>
      <c r="O228" s="225">
        <f t="shared" si="83"/>
        <v>76791.352708333332</v>
      </c>
      <c r="P228" s="219"/>
    </row>
    <row r="229" spans="1:16" s="148" customFormat="1" ht="35.1" customHeight="1" thickBot="1" x14ac:dyDescent="0.25">
      <c r="A229" s="146"/>
      <c r="B229" s="146"/>
      <c r="C229" s="146"/>
      <c r="D229" s="146"/>
      <c r="E229" s="146"/>
      <c r="F229" s="226"/>
      <c r="G229" s="226"/>
      <c r="H229" s="226"/>
      <c r="I229" s="226"/>
      <c r="J229" s="226"/>
      <c r="K229" s="226"/>
      <c r="L229" s="226"/>
      <c r="M229" s="226"/>
      <c r="N229" s="226"/>
      <c r="O229" s="226"/>
      <c r="P229" s="219"/>
    </row>
    <row r="230" spans="1:16" s="219" customFormat="1" ht="35.1" customHeight="1" thickBot="1" x14ac:dyDescent="0.25">
      <c r="A230" s="208" t="s">
        <v>192</v>
      </c>
      <c r="B230" s="209"/>
      <c r="C230" s="209"/>
      <c r="D230" s="209"/>
      <c r="E230" s="209"/>
      <c r="F230" s="209"/>
      <c r="G230" s="209"/>
      <c r="H230" s="209"/>
      <c r="I230" s="209"/>
      <c r="J230" s="209"/>
      <c r="K230" s="209"/>
      <c r="L230" s="209"/>
      <c r="M230" s="209"/>
      <c r="N230" s="209"/>
      <c r="O230" s="209"/>
    </row>
    <row r="231" spans="1:16" s="219" customFormat="1" ht="35.1" customHeight="1" x14ac:dyDescent="0.2">
      <c r="A231" s="235">
        <f>+A227+1</f>
        <v>104</v>
      </c>
      <c r="B231" s="72" t="s">
        <v>60</v>
      </c>
      <c r="C231" s="73" t="s">
        <v>335</v>
      </c>
      <c r="D231" s="72" t="s">
        <v>11</v>
      </c>
      <c r="E231" s="72" t="s">
        <v>97</v>
      </c>
      <c r="F231" s="216">
        <v>65000</v>
      </c>
      <c r="G231" s="216">
        <f>F231*2.87%</f>
        <v>1865.5</v>
      </c>
      <c r="H231" s="68">
        <f>+F231*3.04%</f>
        <v>1976</v>
      </c>
      <c r="I231" s="68"/>
      <c r="J231" s="69">
        <f t="shared" si="80"/>
        <v>3841.5</v>
      </c>
      <c r="K231" s="69">
        <f t="shared" ref="K231:K232" si="84">+F231-J231</f>
        <v>61158.5</v>
      </c>
      <c r="L231" s="69">
        <v>0</v>
      </c>
      <c r="M231" s="84">
        <v>225</v>
      </c>
      <c r="N231" s="215">
        <f>+M231+I231+H231+G231+L231</f>
        <v>4066.5</v>
      </c>
      <c r="O231" s="84">
        <f>+F231-N231</f>
        <v>60933.5</v>
      </c>
    </row>
    <row r="232" spans="1:16" s="148" customFormat="1" ht="35.1" customHeight="1" x14ac:dyDescent="0.2">
      <c r="A232" s="235">
        <f>+A231+1</f>
        <v>105</v>
      </c>
      <c r="B232" s="72" t="s">
        <v>357</v>
      </c>
      <c r="C232" s="73" t="s">
        <v>335</v>
      </c>
      <c r="D232" s="72" t="s">
        <v>11</v>
      </c>
      <c r="E232" s="72" t="s">
        <v>97</v>
      </c>
      <c r="F232" s="216">
        <v>65000</v>
      </c>
      <c r="G232" s="216">
        <f>F232*2.87%</f>
        <v>1865.5</v>
      </c>
      <c r="H232" s="68">
        <f>+F232*3.04%</f>
        <v>1976</v>
      </c>
      <c r="I232" s="68">
        <v>1919.78</v>
      </c>
      <c r="J232" s="69">
        <f t="shared" si="80"/>
        <v>5761.28</v>
      </c>
      <c r="K232" s="69">
        <f t="shared" si="84"/>
        <v>59238.720000000001</v>
      </c>
      <c r="L232" s="69">
        <v>0</v>
      </c>
      <c r="M232" s="84">
        <v>225</v>
      </c>
      <c r="N232" s="215">
        <f>+M232+I232+H232+G232+L232</f>
        <v>5986.28</v>
      </c>
      <c r="O232" s="84">
        <f>+F232-N232</f>
        <v>59013.72</v>
      </c>
      <c r="P232" s="219"/>
    </row>
    <row r="233" spans="1:16" s="219" customFormat="1" ht="35.1" customHeight="1" x14ac:dyDescent="0.2">
      <c r="A233" s="223" t="s">
        <v>99</v>
      </c>
      <c r="B233" s="224"/>
      <c r="C233" s="224"/>
      <c r="D233" s="224"/>
      <c r="E233" s="239"/>
      <c r="F233" s="225">
        <f t="shared" ref="F233:L233" si="85">SUM(F231:F232)</f>
        <v>130000</v>
      </c>
      <c r="G233" s="225">
        <f t="shared" si="85"/>
        <v>3731</v>
      </c>
      <c r="H233" s="225">
        <f t="shared" si="85"/>
        <v>3952</v>
      </c>
      <c r="I233" s="225">
        <f t="shared" si="85"/>
        <v>1919.78</v>
      </c>
      <c r="J233" s="225">
        <f t="shared" si="85"/>
        <v>9602.7799999999988</v>
      </c>
      <c r="K233" s="225">
        <f t="shared" si="85"/>
        <v>120397.22</v>
      </c>
      <c r="L233" s="225">
        <f t="shared" si="85"/>
        <v>0</v>
      </c>
      <c r="M233" s="225">
        <f>SUM(M231:M232)</f>
        <v>450</v>
      </c>
      <c r="N233" s="225">
        <f>SUM(N231:N232)</f>
        <v>10052.779999999999</v>
      </c>
      <c r="O233" s="225">
        <f>SUM(O231:O232)</f>
        <v>119947.22</v>
      </c>
    </row>
    <row r="234" spans="1:16" s="148" customFormat="1" ht="35.1" customHeight="1" thickBot="1" x14ac:dyDescent="0.25">
      <c r="A234" s="146"/>
      <c r="B234" s="146"/>
      <c r="C234" s="146"/>
      <c r="D234" s="146"/>
      <c r="E234" s="146"/>
      <c r="F234" s="226"/>
      <c r="G234" s="226"/>
      <c r="H234" s="226"/>
      <c r="I234" s="226"/>
      <c r="J234" s="226"/>
      <c r="K234" s="226"/>
      <c r="L234" s="226"/>
      <c r="M234" s="226"/>
      <c r="N234" s="226"/>
      <c r="O234" s="226"/>
      <c r="P234" s="219"/>
    </row>
    <row r="235" spans="1:16" s="219" customFormat="1" ht="35.1" customHeight="1" thickBot="1" x14ac:dyDescent="0.25">
      <c r="A235" s="229" t="s">
        <v>257</v>
      </c>
      <c r="B235" s="230"/>
      <c r="C235" s="230"/>
      <c r="D235" s="230"/>
      <c r="E235" s="230"/>
      <c r="F235" s="230"/>
      <c r="G235" s="230"/>
      <c r="H235" s="230"/>
      <c r="I235" s="230"/>
      <c r="J235" s="230"/>
      <c r="K235" s="230"/>
      <c r="L235" s="230"/>
      <c r="M235" s="230"/>
      <c r="N235" s="230"/>
      <c r="O235" s="230"/>
    </row>
    <row r="236" spans="1:16" s="252" customFormat="1" ht="35.1" customHeight="1" x14ac:dyDescent="0.2">
      <c r="A236" s="235">
        <f>+A232+1</f>
        <v>106</v>
      </c>
      <c r="B236" s="72" t="s">
        <v>15</v>
      </c>
      <c r="C236" s="73" t="s">
        <v>336</v>
      </c>
      <c r="D236" s="72" t="s">
        <v>160</v>
      </c>
      <c r="E236" s="72" t="s">
        <v>97</v>
      </c>
      <c r="F236" s="216">
        <v>95000</v>
      </c>
      <c r="G236" s="215">
        <f>F236*2.87%</f>
        <v>2726.5</v>
      </c>
      <c r="H236" s="69">
        <f>+F236*3.04%</f>
        <v>2888</v>
      </c>
      <c r="I236" s="69"/>
      <c r="J236" s="69">
        <f t="shared" si="80"/>
        <v>5614.5</v>
      </c>
      <c r="K236" s="69">
        <f>+F236-J236</f>
        <v>89385.5</v>
      </c>
      <c r="L236" s="69">
        <f t="shared" ref="L236" si="86">+IF(K236*12&lt;=416220.01,0,IF(K236*12&lt;=624329.01,(((K236*12-416220.01)*0.15)/12),IF((K236*12&lt;=867123.01),(31216+0.2*(K236*12-624329.01))/12,((79776+0.25*(K236*12-867123.01))/12))))</f>
        <v>10929.312291666667</v>
      </c>
      <c r="M236" s="234">
        <v>225</v>
      </c>
      <c r="N236" s="215">
        <f>+M236+I236+H236+G236+L236</f>
        <v>16768.812291666669</v>
      </c>
      <c r="O236" s="84">
        <f>+F236-N236</f>
        <v>78231.187708333338</v>
      </c>
    </row>
    <row r="237" spans="1:16" s="219" customFormat="1" ht="35.1" customHeight="1" x14ac:dyDescent="0.2">
      <c r="A237" s="235">
        <f>+A236+1</f>
        <v>107</v>
      </c>
      <c r="B237" s="72" t="s">
        <v>24</v>
      </c>
      <c r="C237" s="73" t="s">
        <v>336</v>
      </c>
      <c r="D237" s="72" t="s">
        <v>72</v>
      </c>
      <c r="E237" s="72" t="s">
        <v>191</v>
      </c>
      <c r="F237" s="216">
        <v>50000</v>
      </c>
      <c r="G237" s="68">
        <f>F237*2.87%</f>
        <v>1435</v>
      </c>
      <c r="H237" s="69">
        <f>+F237*3.04%</f>
        <v>1520</v>
      </c>
      <c r="I237" s="215">
        <v>0</v>
      </c>
      <c r="J237" s="69">
        <f t="shared" si="80"/>
        <v>2955</v>
      </c>
      <c r="K237" s="69">
        <f>+F237-J237</f>
        <v>47045</v>
      </c>
      <c r="L237" s="69">
        <v>0</v>
      </c>
      <c r="M237" s="234">
        <v>345</v>
      </c>
      <c r="N237" s="215">
        <f>+M237+I237+H237+G237+L237</f>
        <v>3300</v>
      </c>
      <c r="O237" s="84">
        <f>+F237-N237</f>
        <v>46700</v>
      </c>
    </row>
    <row r="238" spans="1:16" s="148" customFormat="1" ht="35.1" customHeight="1" thickBot="1" x14ac:dyDescent="0.25">
      <c r="A238" s="223" t="s">
        <v>99</v>
      </c>
      <c r="B238" s="224"/>
      <c r="C238" s="224"/>
      <c r="D238" s="224"/>
      <c r="E238" s="239"/>
      <c r="F238" s="225">
        <f>SUM(F236:F237)</f>
        <v>145000</v>
      </c>
      <c r="G238" s="225">
        <f t="shared" ref="G238:O238" si="87">SUM(G236:G237)</f>
        <v>4161.5</v>
      </c>
      <c r="H238" s="225">
        <f t="shared" si="87"/>
        <v>4408</v>
      </c>
      <c r="I238" s="225">
        <f t="shared" si="87"/>
        <v>0</v>
      </c>
      <c r="J238" s="225">
        <f t="shared" si="87"/>
        <v>8569.5</v>
      </c>
      <c r="K238" s="225">
        <f>SUM(K236:K237)</f>
        <v>136430.5</v>
      </c>
      <c r="L238" s="225">
        <f t="shared" si="87"/>
        <v>10929.312291666667</v>
      </c>
      <c r="M238" s="225">
        <f t="shared" si="87"/>
        <v>570</v>
      </c>
      <c r="N238" s="225">
        <f t="shared" si="87"/>
        <v>20068.812291666669</v>
      </c>
      <c r="O238" s="225">
        <f t="shared" si="87"/>
        <v>124931.18770833334</v>
      </c>
      <c r="P238" s="219"/>
    </row>
    <row r="239" spans="1:16" s="148" customFormat="1" ht="35.1" customHeight="1" thickBot="1" x14ac:dyDescent="0.25">
      <c r="A239" s="229" t="s">
        <v>258</v>
      </c>
      <c r="B239" s="230"/>
      <c r="C239" s="230"/>
      <c r="D239" s="230"/>
      <c r="E239" s="230"/>
      <c r="F239" s="230"/>
      <c r="G239" s="230"/>
      <c r="H239" s="230"/>
      <c r="I239" s="230"/>
      <c r="J239" s="230"/>
      <c r="K239" s="230"/>
      <c r="L239" s="230"/>
      <c r="M239" s="230"/>
      <c r="N239" s="230"/>
      <c r="O239" s="230"/>
      <c r="P239" s="219"/>
    </row>
    <row r="240" spans="1:16" s="219" customFormat="1" ht="44.25" customHeight="1" x14ac:dyDescent="0.2">
      <c r="A240" s="237">
        <f>+A237+1</f>
        <v>108</v>
      </c>
      <c r="B240" s="72" t="s">
        <v>318</v>
      </c>
      <c r="C240" s="73" t="s">
        <v>335</v>
      </c>
      <c r="D240" s="72" t="s">
        <v>259</v>
      </c>
      <c r="E240" s="72" t="s">
        <v>191</v>
      </c>
      <c r="F240" s="216">
        <v>55000</v>
      </c>
      <c r="G240" s="216">
        <f t="shared" ref="G240:G245" si="88">F240*2.87%</f>
        <v>1578.5</v>
      </c>
      <c r="H240" s="216">
        <f t="shared" ref="H240:H245" si="89">+F240*3.04%</f>
        <v>1672</v>
      </c>
      <c r="I240" s="216"/>
      <c r="J240" s="215">
        <f t="shared" si="80"/>
        <v>3250.5</v>
      </c>
      <c r="K240" s="215">
        <f>+F240-J240</f>
        <v>51749.5</v>
      </c>
      <c r="L240" s="215">
        <f t="shared" ref="L240:L270" si="90">+IF(K240*12&lt;=416220.01,0,IF(K240*12&lt;=624329.01,(((K240*12-416220.01)*0.15)/12),IF((K240*12&lt;=867123.01),(31216+0.2*(K240*12-624329.01))/12,((79776+0.25*(K240*12-867123.01))/12))))</f>
        <v>2559.6748749999997</v>
      </c>
      <c r="M240" s="221">
        <v>9954.68</v>
      </c>
      <c r="N240" s="215">
        <f t="shared" ref="N240:N270" si="91">+M240+I240+H240+G240+L240</f>
        <v>15764.854875000001</v>
      </c>
      <c r="O240" s="84">
        <f t="shared" ref="O240:O270" si="92">+F240-N240</f>
        <v>39235.145124999995</v>
      </c>
    </row>
    <row r="241" spans="1:16" s="219" customFormat="1" ht="35.1" customHeight="1" x14ac:dyDescent="0.2">
      <c r="A241" s="237">
        <f t="shared" ref="A241:A270" si="93">+A240+1</f>
        <v>109</v>
      </c>
      <c r="B241" s="72" t="s">
        <v>427</v>
      </c>
      <c r="C241" s="73" t="s">
        <v>335</v>
      </c>
      <c r="D241" s="72" t="s">
        <v>259</v>
      </c>
      <c r="E241" s="72" t="s">
        <v>191</v>
      </c>
      <c r="F241" s="216">
        <v>50000</v>
      </c>
      <c r="G241" s="216">
        <f>F241*2.87%</f>
        <v>1435</v>
      </c>
      <c r="H241" s="216">
        <f>+F241*3.04%</f>
        <v>1520</v>
      </c>
      <c r="I241" s="216"/>
      <c r="J241" s="215">
        <f>+G241+H241+I241</f>
        <v>2955</v>
      </c>
      <c r="K241" s="215">
        <f>+F241-J241</f>
        <v>47045</v>
      </c>
      <c r="L241" s="215">
        <v>0</v>
      </c>
      <c r="M241" s="221">
        <v>265</v>
      </c>
      <c r="N241" s="215">
        <f t="shared" si="91"/>
        <v>3220</v>
      </c>
      <c r="O241" s="84">
        <f t="shared" si="92"/>
        <v>46780</v>
      </c>
    </row>
    <row r="242" spans="1:16" s="148" customFormat="1" ht="35.1" customHeight="1" x14ac:dyDescent="0.2">
      <c r="A242" s="237">
        <f t="shared" si="93"/>
        <v>110</v>
      </c>
      <c r="B242" s="72" t="s">
        <v>506</v>
      </c>
      <c r="C242" s="73" t="s">
        <v>336</v>
      </c>
      <c r="D242" s="72" t="s">
        <v>259</v>
      </c>
      <c r="E242" s="72" t="s">
        <v>191</v>
      </c>
      <c r="F242" s="216">
        <v>50000</v>
      </c>
      <c r="G242" s="216">
        <f t="shared" ref="G242" si="94">F242*2.87%</f>
        <v>1435</v>
      </c>
      <c r="H242" s="216">
        <f t="shared" ref="H242" si="95">+F242*3.04%</f>
        <v>1520</v>
      </c>
      <c r="I242" s="216"/>
      <c r="J242" s="215">
        <f t="shared" ref="J242" si="96">+G242+H242+I242</f>
        <v>2955</v>
      </c>
      <c r="K242" s="215">
        <f t="shared" ref="K242:K263" si="97">+F242-J242</f>
        <v>47045</v>
      </c>
      <c r="L242" s="215">
        <v>0</v>
      </c>
      <c r="M242" s="221">
        <v>225</v>
      </c>
      <c r="N242" s="215">
        <f t="shared" si="91"/>
        <v>3180</v>
      </c>
      <c r="O242" s="84">
        <f t="shared" si="92"/>
        <v>46820</v>
      </c>
      <c r="P242" s="219"/>
    </row>
    <row r="243" spans="1:16" s="218" customFormat="1" ht="35.1" customHeight="1" x14ac:dyDescent="0.2">
      <c r="A243" s="237">
        <f t="shared" si="93"/>
        <v>111</v>
      </c>
      <c r="B243" s="72" t="s">
        <v>626</v>
      </c>
      <c r="C243" s="299" t="s">
        <v>335</v>
      </c>
      <c r="D243" s="72" t="s">
        <v>259</v>
      </c>
      <c r="E243" s="72" t="s">
        <v>191</v>
      </c>
      <c r="F243" s="216">
        <v>48000</v>
      </c>
      <c r="G243" s="216">
        <f>F243*2.87%</f>
        <v>1377.6</v>
      </c>
      <c r="H243" s="216">
        <f>+F243*3.04%</f>
        <v>1459.2</v>
      </c>
      <c r="I243" s="216"/>
      <c r="J243" s="215">
        <f>+G243+H243+I243</f>
        <v>2836.8</v>
      </c>
      <c r="K243" s="215">
        <f>+F243-J243</f>
        <v>45163.199999999997</v>
      </c>
      <c r="L243" s="215">
        <f t="shared" si="90"/>
        <v>1571.7298749999989</v>
      </c>
      <c r="M243" s="221">
        <v>3290.29</v>
      </c>
      <c r="N243" s="215">
        <f>+M243+I243+H243+G243+L243</f>
        <v>7698.8198749999992</v>
      </c>
      <c r="O243" s="84">
        <f>+F243-N243</f>
        <v>40301.180124999999</v>
      </c>
    </row>
    <row r="244" spans="1:16" s="148" customFormat="1" ht="35.1" customHeight="1" x14ac:dyDescent="0.2">
      <c r="A244" s="237">
        <f t="shared" si="93"/>
        <v>112</v>
      </c>
      <c r="B244" s="72" t="s">
        <v>120</v>
      </c>
      <c r="C244" s="73" t="s">
        <v>335</v>
      </c>
      <c r="D244" s="72" t="s">
        <v>259</v>
      </c>
      <c r="E244" s="72" t="s">
        <v>191</v>
      </c>
      <c r="F244" s="216">
        <v>55000</v>
      </c>
      <c r="G244" s="216">
        <f t="shared" si="88"/>
        <v>1578.5</v>
      </c>
      <c r="H244" s="216">
        <f t="shared" si="89"/>
        <v>1672</v>
      </c>
      <c r="I244" s="216"/>
      <c r="J244" s="215">
        <f>+G244+H244+I244</f>
        <v>3250.5</v>
      </c>
      <c r="K244" s="215">
        <f t="shared" si="97"/>
        <v>51749.5</v>
      </c>
      <c r="L244" s="215">
        <v>2559.67</v>
      </c>
      <c r="M244" s="221">
        <v>385</v>
      </c>
      <c r="N244" s="215">
        <f t="shared" si="91"/>
        <v>6195.17</v>
      </c>
      <c r="O244" s="84">
        <f t="shared" si="92"/>
        <v>48804.83</v>
      </c>
      <c r="P244" s="219"/>
    </row>
    <row r="245" spans="1:16" s="148" customFormat="1" ht="35.1" customHeight="1" x14ac:dyDescent="0.2">
      <c r="A245" s="237">
        <f t="shared" si="93"/>
        <v>113</v>
      </c>
      <c r="B245" s="72" t="s">
        <v>18</v>
      </c>
      <c r="C245" s="73" t="s">
        <v>336</v>
      </c>
      <c r="D245" s="72" t="s">
        <v>75</v>
      </c>
      <c r="E245" s="72" t="s">
        <v>97</v>
      </c>
      <c r="F245" s="216">
        <v>32000</v>
      </c>
      <c r="G245" s="216">
        <f t="shared" si="88"/>
        <v>918.4</v>
      </c>
      <c r="H245" s="216">
        <f t="shared" si="89"/>
        <v>972.8</v>
      </c>
      <c r="I245" s="216"/>
      <c r="J245" s="215">
        <f t="shared" si="80"/>
        <v>1891.1999999999998</v>
      </c>
      <c r="K245" s="215">
        <f t="shared" si="97"/>
        <v>30108.799999999999</v>
      </c>
      <c r="L245" s="215">
        <f t="shared" si="90"/>
        <v>0</v>
      </c>
      <c r="M245" s="221">
        <v>225</v>
      </c>
      <c r="N245" s="215">
        <f t="shared" si="91"/>
        <v>2116.1999999999998</v>
      </c>
      <c r="O245" s="84">
        <f t="shared" si="92"/>
        <v>29883.8</v>
      </c>
      <c r="P245" s="219"/>
    </row>
    <row r="246" spans="1:16" s="219" customFormat="1" ht="35.1" customHeight="1" x14ac:dyDescent="0.2">
      <c r="A246" s="237">
        <f t="shared" si="93"/>
        <v>114</v>
      </c>
      <c r="B246" s="72" t="s">
        <v>161</v>
      </c>
      <c r="C246" s="73" t="s">
        <v>336</v>
      </c>
      <c r="D246" s="72" t="s">
        <v>75</v>
      </c>
      <c r="E246" s="72" t="s">
        <v>97</v>
      </c>
      <c r="F246" s="216">
        <v>32000</v>
      </c>
      <c r="G246" s="216">
        <f t="shared" ref="G246:G256" si="98">F246*2.87%</f>
        <v>918.4</v>
      </c>
      <c r="H246" s="216">
        <f t="shared" ref="H246:H256" si="99">+F246*3.04%</f>
        <v>972.8</v>
      </c>
      <c r="I246" s="216"/>
      <c r="J246" s="215">
        <f t="shared" si="80"/>
        <v>1891.1999999999998</v>
      </c>
      <c r="K246" s="215">
        <f t="shared" si="97"/>
        <v>30108.799999999999</v>
      </c>
      <c r="L246" s="215">
        <f t="shared" si="90"/>
        <v>0</v>
      </c>
      <c r="M246" s="221">
        <v>3947.71</v>
      </c>
      <c r="N246" s="215">
        <f t="shared" si="91"/>
        <v>5838.91</v>
      </c>
      <c r="O246" s="84">
        <f t="shared" si="92"/>
        <v>26161.09</v>
      </c>
    </row>
    <row r="247" spans="1:16" s="148" customFormat="1" ht="35.1" customHeight="1" x14ac:dyDescent="0.2">
      <c r="A247" s="237">
        <f t="shared" si="93"/>
        <v>115</v>
      </c>
      <c r="B247" s="72" t="s">
        <v>20</v>
      </c>
      <c r="C247" s="73" t="s">
        <v>336</v>
      </c>
      <c r="D247" s="72" t="s">
        <v>22</v>
      </c>
      <c r="E247" s="72" t="s">
        <v>191</v>
      </c>
      <c r="F247" s="216">
        <v>32000</v>
      </c>
      <c r="G247" s="216">
        <f t="shared" si="98"/>
        <v>918.4</v>
      </c>
      <c r="H247" s="216">
        <f t="shared" si="99"/>
        <v>972.8</v>
      </c>
      <c r="I247" s="216">
        <f>1919.78*2</f>
        <v>3839.56</v>
      </c>
      <c r="J247" s="215">
        <f t="shared" si="80"/>
        <v>5730.76</v>
      </c>
      <c r="K247" s="215">
        <f t="shared" si="97"/>
        <v>26269.239999999998</v>
      </c>
      <c r="L247" s="215">
        <f t="shared" si="90"/>
        <v>0</v>
      </c>
      <c r="M247" s="221">
        <v>265</v>
      </c>
      <c r="N247" s="215">
        <f t="shared" si="91"/>
        <v>5995.7599999999993</v>
      </c>
      <c r="O247" s="84">
        <f t="shared" si="92"/>
        <v>26004.240000000002</v>
      </c>
      <c r="P247" s="219"/>
    </row>
    <row r="248" spans="1:16" s="219" customFormat="1" ht="35.1" customHeight="1" x14ac:dyDescent="0.2">
      <c r="A248" s="237">
        <f t="shared" si="93"/>
        <v>116</v>
      </c>
      <c r="B248" s="72" t="s">
        <v>260</v>
      </c>
      <c r="C248" s="73" t="s">
        <v>336</v>
      </c>
      <c r="D248" s="72" t="s">
        <v>22</v>
      </c>
      <c r="E248" s="72" t="s">
        <v>97</v>
      </c>
      <c r="F248" s="216">
        <v>32000</v>
      </c>
      <c r="G248" s="216">
        <f t="shared" si="98"/>
        <v>918.4</v>
      </c>
      <c r="H248" s="216">
        <f t="shared" si="99"/>
        <v>972.8</v>
      </c>
      <c r="I248" s="216"/>
      <c r="J248" s="215">
        <f t="shared" si="80"/>
        <v>1891.1999999999998</v>
      </c>
      <c r="K248" s="215">
        <f t="shared" si="97"/>
        <v>30108.799999999999</v>
      </c>
      <c r="L248" s="215">
        <f t="shared" si="90"/>
        <v>0</v>
      </c>
      <c r="M248" s="221">
        <v>6052.11</v>
      </c>
      <c r="N248" s="215">
        <f t="shared" si="91"/>
        <v>7943.3099999999995</v>
      </c>
      <c r="O248" s="84">
        <f t="shared" si="92"/>
        <v>24056.690000000002</v>
      </c>
    </row>
    <row r="249" spans="1:16" s="252" customFormat="1" ht="35.1" customHeight="1" x14ac:dyDescent="0.2">
      <c r="A249" s="237">
        <f t="shared" si="93"/>
        <v>117</v>
      </c>
      <c r="B249" s="72" t="s">
        <v>21</v>
      </c>
      <c r="C249" s="73" t="s">
        <v>336</v>
      </c>
      <c r="D249" s="72" t="s">
        <v>22</v>
      </c>
      <c r="E249" s="72" t="s">
        <v>97</v>
      </c>
      <c r="F249" s="216">
        <v>32000</v>
      </c>
      <c r="G249" s="216">
        <f t="shared" si="98"/>
        <v>918.4</v>
      </c>
      <c r="H249" s="216">
        <f t="shared" si="99"/>
        <v>972.8</v>
      </c>
      <c r="I249" s="216">
        <v>0</v>
      </c>
      <c r="J249" s="215">
        <f t="shared" si="80"/>
        <v>1891.1999999999998</v>
      </c>
      <c r="K249" s="215">
        <f t="shared" si="97"/>
        <v>30108.799999999999</v>
      </c>
      <c r="L249" s="215">
        <f t="shared" si="90"/>
        <v>0</v>
      </c>
      <c r="M249" s="221">
        <v>5976.53</v>
      </c>
      <c r="N249" s="215">
        <f t="shared" si="91"/>
        <v>7867.73</v>
      </c>
      <c r="O249" s="84">
        <f t="shared" si="92"/>
        <v>24132.27</v>
      </c>
    </row>
    <row r="250" spans="1:16" s="148" customFormat="1" ht="35.1" customHeight="1" x14ac:dyDescent="0.2">
      <c r="A250" s="237">
        <f t="shared" si="93"/>
        <v>118</v>
      </c>
      <c r="B250" s="72" t="s">
        <v>265</v>
      </c>
      <c r="C250" s="73" t="s">
        <v>336</v>
      </c>
      <c r="D250" s="72" t="s">
        <v>22</v>
      </c>
      <c r="E250" s="72" t="s">
        <v>191</v>
      </c>
      <c r="F250" s="216">
        <v>32000</v>
      </c>
      <c r="G250" s="216">
        <f>F250*2.87%</f>
        <v>918.4</v>
      </c>
      <c r="H250" s="216">
        <f>+F250*3.04%</f>
        <v>972.8</v>
      </c>
      <c r="I250" s="216"/>
      <c r="J250" s="215">
        <f>+G250+H250+I250</f>
        <v>1891.1999999999998</v>
      </c>
      <c r="K250" s="215">
        <f t="shared" si="97"/>
        <v>30108.799999999999</v>
      </c>
      <c r="L250" s="215">
        <f t="shared" si="90"/>
        <v>0</v>
      </c>
      <c r="M250" s="221">
        <v>5147.8599999999997</v>
      </c>
      <c r="N250" s="215">
        <f t="shared" si="91"/>
        <v>7039.0599999999995</v>
      </c>
      <c r="O250" s="84">
        <f t="shared" si="92"/>
        <v>24960.940000000002</v>
      </c>
      <c r="P250" s="219"/>
    </row>
    <row r="251" spans="1:16" s="148" customFormat="1" ht="35.1" customHeight="1" x14ac:dyDescent="0.2">
      <c r="A251" s="237">
        <f t="shared" si="93"/>
        <v>119</v>
      </c>
      <c r="B251" s="72" t="s">
        <v>119</v>
      </c>
      <c r="C251" s="73" t="s">
        <v>336</v>
      </c>
      <c r="D251" s="72" t="s">
        <v>22</v>
      </c>
      <c r="E251" s="72" t="s">
        <v>191</v>
      </c>
      <c r="F251" s="216">
        <v>32000</v>
      </c>
      <c r="G251" s="216">
        <f>F251*2.87%</f>
        <v>918.4</v>
      </c>
      <c r="H251" s="216">
        <f>+F251*3.04%</f>
        <v>972.8</v>
      </c>
      <c r="I251" s="216"/>
      <c r="J251" s="215">
        <f>+G251+H251+I251</f>
        <v>1891.1999999999998</v>
      </c>
      <c r="K251" s="215">
        <f t="shared" si="97"/>
        <v>30108.799999999999</v>
      </c>
      <c r="L251" s="215">
        <f t="shared" si="90"/>
        <v>0</v>
      </c>
      <c r="M251" s="221">
        <v>12591.95</v>
      </c>
      <c r="N251" s="215">
        <f t="shared" si="91"/>
        <v>14483.15</v>
      </c>
      <c r="O251" s="84">
        <f t="shared" si="92"/>
        <v>17516.849999999999</v>
      </c>
      <c r="P251" s="219"/>
    </row>
    <row r="252" spans="1:16" s="219" customFormat="1" ht="35.1" customHeight="1" x14ac:dyDescent="0.2">
      <c r="A252" s="237">
        <f t="shared" si="93"/>
        <v>120</v>
      </c>
      <c r="B252" s="72" t="s">
        <v>19</v>
      </c>
      <c r="C252" s="73" t="s">
        <v>335</v>
      </c>
      <c r="D252" s="72" t="s">
        <v>22</v>
      </c>
      <c r="E252" s="72" t="s">
        <v>97</v>
      </c>
      <c r="F252" s="216">
        <v>28000</v>
      </c>
      <c r="G252" s="216">
        <f t="shared" si="98"/>
        <v>803.6</v>
      </c>
      <c r="H252" s="216">
        <f t="shared" si="99"/>
        <v>851.2</v>
      </c>
      <c r="I252" s="216">
        <v>0</v>
      </c>
      <c r="J252" s="215">
        <f t="shared" si="80"/>
        <v>1654.8000000000002</v>
      </c>
      <c r="K252" s="215">
        <f t="shared" si="97"/>
        <v>26345.200000000001</v>
      </c>
      <c r="L252" s="215">
        <f t="shared" si="90"/>
        <v>0</v>
      </c>
      <c r="M252" s="221">
        <v>10736.16</v>
      </c>
      <c r="N252" s="215">
        <f t="shared" si="91"/>
        <v>12390.960000000001</v>
      </c>
      <c r="O252" s="84">
        <f t="shared" si="92"/>
        <v>15609.039999999999</v>
      </c>
    </row>
    <row r="253" spans="1:16" s="219" customFormat="1" ht="35.1" customHeight="1" x14ac:dyDescent="0.2">
      <c r="A253" s="237">
        <f t="shared" si="93"/>
        <v>121</v>
      </c>
      <c r="B253" s="72" t="s">
        <v>261</v>
      </c>
      <c r="C253" s="73" t="s">
        <v>336</v>
      </c>
      <c r="D253" s="72" t="s">
        <v>22</v>
      </c>
      <c r="E253" s="72" t="s">
        <v>97</v>
      </c>
      <c r="F253" s="216">
        <v>28000</v>
      </c>
      <c r="G253" s="216">
        <f t="shared" si="98"/>
        <v>803.6</v>
      </c>
      <c r="H253" s="216">
        <f t="shared" si="99"/>
        <v>851.2</v>
      </c>
      <c r="I253" s="216"/>
      <c r="J253" s="215">
        <f t="shared" si="80"/>
        <v>1654.8000000000002</v>
      </c>
      <c r="K253" s="215">
        <f t="shared" si="97"/>
        <v>26345.200000000001</v>
      </c>
      <c r="L253" s="215">
        <f t="shared" si="90"/>
        <v>0</v>
      </c>
      <c r="M253" s="221">
        <v>225</v>
      </c>
      <c r="N253" s="215">
        <f t="shared" si="91"/>
        <v>1879.8000000000002</v>
      </c>
      <c r="O253" s="84">
        <f t="shared" si="92"/>
        <v>26120.2</v>
      </c>
    </row>
    <row r="254" spans="1:16" s="219" customFormat="1" ht="35.1" customHeight="1" x14ac:dyDescent="0.2">
      <c r="A254" s="237">
        <f t="shared" si="93"/>
        <v>122</v>
      </c>
      <c r="B254" s="72" t="s">
        <v>263</v>
      </c>
      <c r="C254" s="73" t="s">
        <v>335</v>
      </c>
      <c r="D254" s="72" t="s">
        <v>22</v>
      </c>
      <c r="E254" s="72" t="s">
        <v>191</v>
      </c>
      <c r="F254" s="216">
        <v>28000</v>
      </c>
      <c r="G254" s="216">
        <f t="shared" si="98"/>
        <v>803.6</v>
      </c>
      <c r="H254" s="216">
        <f t="shared" si="99"/>
        <v>851.2</v>
      </c>
      <c r="I254" s="216"/>
      <c r="J254" s="215">
        <f t="shared" si="80"/>
        <v>1654.8000000000002</v>
      </c>
      <c r="K254" s="215">
        <f t="shared" si="97"/>
        <v>26345.200000000001</v>
      </c>
      <c r="L254" s="215">
        <f t="shared" si="90"/>
        <v>0</v>
      </c>
      <c r="M254" s="221">
        <v>225</v>
      </c>
      <c r="N254" s="215">
        <f t="shared" si="91"/>
        <v>1879.8000000000002</v>
      </c>
      <c r="O254" s="84">
        <f t="shared" si="92"/>
        <v>26120.2</v>
      </c>
    </row>
    <row r="255" spans="1:16" s="219" customFormat="1" ht="35.1" customHeight="1" x14ac:dyDescent="0.2">
      <c r="A255" s="237">
        <f t="shared" si="93"/>
        <v>123</v>
      </c>
      <c r="B255" s="72" t="s">
        <v>264</v>
      </c>
      <c r="C255" s="73" t="s">
        <v>336</v>
      </c>
      <c r="D255" s="72" t="s">
        <v>22</v>
      </c>
      <c r="E255" s="72" t="s">
        <v>191</v>
      </c>
      <c r="F255" s="216">
        <v>28000</v>
      </c>
      <c r="G255" s="216">
        <f t="shared" si="98"/>
        <v>803.6</v>
      </c>
      <c r="H255" s="216">
        <f t="shared" si="99"/>
        <v>851.2</v>
      </c>
      <c r="I255" s="216"/>
      <c r="J255" s="215">
        <f t="shared" si="80"/>
        <v>1654.8000000000002</v>
      </c>
      <c r="K255" s="215">
        <f t="shared" si="97"/>
        <v>26345.200000000001</v>
      </c>
      <c r="L255" s="215">
        <f t="shared" si="90"/>
        <v>0</v>
      </c>
      <c r="M255" s="221">
        <v>1330.29</v>
      </c>
      <c r="N255" s="215">
        <f t="shared" si="91"/>
        <v>2985.0899999999997</v>
      </c>
      <c r="O255" s="84">
        <f t="shared" si="92"/>
        <v>25014.91</v>
      </c>
    </row>
    <row r="256" spans="1:16" s="148" customFormat="1" ht="35.1" customHeight="1" x14ac:dyDescent="0.2">
      <c r="A256" s="237">
        <f t="shared" si="93"/>
        <v>124</v>
      </c>
      <c r="B256" s="72" t="s">
        <v>372</v>
      </c>
      <c r="C256" s="73" t="s">
        <v>335</v>
      </c>
      <c r="D256" s="72" t="s">
        <v>22</v>
      </c>
      <c r="E256" s="72" t="s">
        <v>191</v>
      </c>
      <c r="F256" s="216">
        <v>28000</v>
      </c>
      <c r="G256" s="216">
        <f t="shared" si="98"/>
        <v>803.6</v>
      </c>
      <c r="H256" s="216">
        <f t="shared" si="99"/>
        <v>851.2</v>
      </c>
      <c r="I256" s="216">
        <v>0</v>
      </c>
      <c r="J256" s="215">
        <f t="shared" si="80"/>
        <v>1654.8000000000002</v>
      </c>
      <c r="K256" s="215">
        <f t="shared" si="97"/>
        <v>26345.200000000001</v>
      </c>
      <c r="L256" s="215">
        <f t="shared" si="90"/>
        <v>0</v>
      </c>
      <c r="M256" s="221">
        <v>25</v>
      </c>
      <c r="N256" s="215">
        <f t="shared" si="91"/>
        <v>1679.8000000000002</v>
      </c>
      <c r="O256" s="84">
        <f t="shared" si="92"/>
        <v>26320.2</v>
      </c>
      <c r="P256" s="219"/>
    </row>
    <row r="257" spans="1:16" s="148" customFormat="1" ht="35.1" customHeight="1" x14ac:dyDescent="0.2">
      <c r="A257" s="237">
        <f t="shared" si="93"/>
        <v>125</v>
      </c>
      <c r="B257" s="72" t="s">
        <v>443</v>
      </c>
      <c r="C257" s="73" t="s">
        <v>335</v>
      </c>
      <c r="D257" s="72" t="s">
        <v>22</v>
      </c>
      <c r="E257" s="72" t="s">
        <v>191</v>
      </c>
      <c r="F257" s="216">
        <v>24000</v>
      </c>
      <c r="G257" s="216">
        <f t="shared" ref="G257" si="100">F257*2.87%</f>
        <v>688.8</v>
      </c>
      <c r="H257" s="216">
        <f t="shared" ref="H257" si="101">+F257*3.04%</f>
        <v>729.6</v>
      </c>
      <c r="I257" s="216">
        <v>1919.78</v>
      </c>
      <c r="J257" s="215">
        <f t="shared" si="80"/>
        <v>3338.1800000000003</v>
      </c>
      <c r="K257" s="215">
        <f t="shared" si="97"/>
        <v>20661.82</v>
      </c>
      <c r="L257" s="215">
        <f t="shared" si="90"/>
        <v>0</v>
      </c>
      <c r="M257" s="221">
        <v>11284.41</v>
      </c>
      <c r="N257" s="215">
        <f t="shared" si="91"/>
        <v>14622.59</v>
      </c>
      <c r="O257" s="84">
        <f t="shared" si="92"/>
        <v>9377.41</v>
      </c>
      <c r="P257" s="219"/>
    </row>
    <row r="258" spans="1:16" s="148" customFormat="1" ht="35.1" customHeight="1" x14ac:dyDescent="0.2">
      <c r="A258" s="237">
        <f t="shared" si="93"/>
        <v>126</v>
      </c>
      <c r="B258" s="72" t="s">
        <v>444</v>
      </c>
      <c r="C258" s="73" t="s">
        <v>335</v>
      </c>
      <c r="D258" s="72" t="s">
        <v>22</v>
      </c>
      <c r="E258" s="72" t="s">
        <v>191</v>
      </c>
      <c r="F258" s="216">
        <v>24000</v>
      </c>
      <c r="G258" s="216">
        <f t="shared" ref="G258:G260" si="102">F258*2.87%</f>
        <v>688.8</v>
      </c>
      <c r="H258" s="216">
        <f t="shared" ref="H258:H260" si="103">+F258*3.04%</f>
        <v>729.6</v>
      </c>
      <c r="I258" s="216">
        <v>1919.78</v>
      </c>
      <c r="J258" s="215">
        <f t="shared" si="80"/>
        <v>3338.1800000000003</v>
      </c>
      <c r="K258" s="215">
        <f t="shared" si="97"/>
        <v>20661.82</v>
      </c>
      <c r="L258" s="215">
        <f t="shared" si="90"/>
        <v>0</v>
      </c>
      <c r="M258" s="221">
        <v>5505.94</v>
      </c>
      <c r="N258" s="215">
        <f t="shared" si="91"/>
        <v>8844.119999999999</v>
      </c>
      <c r="O258" s="84">
        <f t="shared" si="92"/>
        <v>15155.880000000001</v>
      </c>
      <c r="P258" s="219"/>
    </row>
    <row r="259" spans="1:16" s="219" customFormat="1" ht="35.1" customHeight="1" x14ac:dyDescent="0.2">
      <c r="A259" s="237">
        <f t="shared" si="93"/>
        <v>127</v>
      </c>
      <c r="B259" s="72" t="s">
        <v>445</v>
      </c>
      <c r="C259" s="73" t="s">
        <v>336</v>
      </c>
      <c r="D259" s="72" t="s">
        <v>75</v>
      </c>
      <c r="E259" s="72" t="s">
        <v>191</v>
      </c>
      <c r="F259" s="216">
        <v>24000</v>
      </c>
      <c r="G259" s="216">
        <f t="shared" si="102"/>
        <v>688.8</v>
      </c>
      <c r="H259" s="216">
        <f t="shared" si="103"/>
        <v>729.6</v>
      </c>
      <c r="I259" s="216"/>
      <c r="J259" s="215">
        <f t="shared" si="80"/>
        <v>1418.4</v>
      </c>
      <c r="K259" s="215">
        <f t="shared" si="97"/>
        <v>22581.599999999999</v>
      </c>
      <c r="L259" s="215">
        <f t="shared" si="90"/>
        <v>0</v>
      </c>
      <c r="M259" s="221">
        <v>4833.67</v>
      </c>
      <c r="N259" s="215">
        <f t="shared" si="91"/>
        <v>6252.0700000000006</v>
      </c>
      <c r="O259" s="84">
        <f t="shared" si="92"/>
        <v>17747.93</v>
      </c>
    </row>
    <row r="260" spans="1:16" s="219" customFormat="1" ht="35.1" customHeight="1" x14ac:dyDescent="0.2">
      <c r="A260" s="237">
        <f t="shared" si="93"/>
        <v>128</v>
      </c>
      <c r="B260" s="72" t="s">
        <v>446</v>
      </c>
      <c r="C260" s="73" t="s">
        <v>336</v>
      </c>
      <c r="D260" s="72" t="s">
        <v>22</v>
      </c>
      <c r="E260" s="72" t="s">
        <v>191</v>
      </c>
      <c r="F260" s="216">
        <v>24000</v>
      </c>
      <c r="G260" s="216">
        <f t="shared" si="102"/>
        <v>688.8</v>
      </c>
      <c r="H260" s="216">
        <f t="shared" si="103"/>
        <v>729.6</v>
      </c>
      <c r="I260" s="216"/>
      <c r="J260" s="215">
        <f t="shared" si="80"/>
        <v>1418.4</v>
      </c>
      <c r="K260" s="215">
        <f t="shared" si="97"/>
        <v>22581.599999999999</v>
      </c>
      <c r="L260" s="215">
        <f t="shared" si="90"/>
        <v>0</v>
      </c>
      <c r="M260" s="221">
        <v>2517.62</v>
      </c>
      <c r="N260" s="215">
        <f t="shared" si="91"/>
        <v>3936.0199999999995</v>
      </c>
      <c r="O260" s="84">
        <f t="shared" si="92"/>
        <v>20063.98</v>
      </c>
    </row>
    <row r="261" spans="1:16" s="219" customFormat="1" ht="35.1" customHeight="1" x14ac:dyDescent="0.2">
      <c r="A261" s="237">
        <f t="shared" si="93"/>
        <v>129</v>
      </c>
      <c r="B261" s="72" t="s">
        <v>519</v>
      </c>
      <c r="C261" s="73" t="s">
        <v>336</v>
      </c>
      <c r="D261" s="72" t="s">
        <v>22</v>
      </c>
      <c r="E261" s="72" t="s">
        <v>191</v>
      </c>
      <c r="F261" s="216">
        <v>24000</v>
      </c>
      <c r="G261" s="216">
        <f t="shared" ref="G261:G263" si="104">F261*2.87%</f>
        <v>688.8</v>
      </c>
      <c r="H261" s="216">
        <f t="shared" ref="H261:H263" si="105">+F261*3.04%</f>
        <v>729.6</v>
      </c>
      <c r="I261" s="216"/>
      <c r="J261" s="215">
        <f t="shared" ref="J261:J263" si="106">+G261+H261+I261</f>
        <v>1418.4</v>
      </c>
      <c r="K261" s="215">
        <f t="shared" si="97"/>
        <v>22581.599999999999</v>
      </c>
      <c r="L261" s="215">
        <f t="shared" si="90"/>
        <v>0</v>
      </c>
      <c r="M261" s="221">
        <v>1290.29</v>
      </c>
      <c r="N261" s="215">
        <f t="shared" si="91"/>
        <v>2708.6899999999996</v>
      </c>
      <c r="O261" s="84">
        <f t="shared" si="92"/>
        <v>21291.31</v>
      </c>
    </row>
    <row r="262" spans="1:16" s="219" customFormat="1" ht="35.1" customHeight="1" x14ac:dyDescent="0.2">
      <c r="A262" s="237">
        <f t="shared" si="93"/>
        <v>130</v>
      </c>
      <c r="B262" s="72" t="s">
        <v>550</v>
      </c>
      <c r="C262" s="73" t="s">
        <v>336</v>
      </c>
      <c r="D262" s="72" t="s">
        <v>22</v>
      </c>
      <c r="E262" s="72" t="s">
        <v>191</v>
      </c>
      <c r="F262" s="216">
        <v>24000</v>
      </c>
      <c r="G262" s="216">
        <f t="shared" si="104"/>
        <v>688.8</v>
      </c>
      <c r="H262" s="216">
        <f t="shared" si="105"/>
        <v>729.6</v>
      </c>
      <c r="I262" s="216"/>
      <c r="J262" s="215">
        <f t="shared" si="106"/>
        <v>1418.4</v>
      </c>
      <c r="K262" s="215">
        <f t="shared" si="97"/>
        <v>22581.599999999999</v>
      </c>
      <c r="L262" s="215">
        <f t="shared" si="90"/>
        <v>0</v>
      </c>
      <c r="M262" s="221">
        <v>2992.62</v>
      </c>
      <c r="N262" s="215">
        <f t="shared" si="91"/>
        <v>4411.0199999999995</v>
      </c>
      <c r="O262" s="84">
        <f t="shared" si="92"/>
        <v>19588.98</v>
      </c>
    </row>
    <row r="263" spans="1:16" s="149" customFormat="1" ht="35.1" customHeight="1" x14ac:dyDescent="0.2">
      <c r="A263" s="237">
        <f t="shared" si="93"/>
        <v>131</v>
      </c>
      <c r="B263" s="72" t="s">
        <v>551</v>
      </c>
      <c r="C263" s="73" t="s">
        <v>335</v>
      </c>
      <c r="D263" s="72" t="s">
        <v>22</v>
      </c>
      <c r="E263" s="72" t="s">
        <v>191</v>
      </c>
      <c r="F263" s="216">
        <v>24000</v>
      </c>
      <c r="G263" s="216">
        <f t="shared" si="104"/>
        <v>688.8</v>
      </c>
      <c r="H263" s="216">
        <f t="shared" si="105"/>
        <v>729.6</v>
      </c>
      <c r="I263" s="216"/>
      <c r="J263" s="215">
        <f t="shared" si="106"/>
        <v>1418.4</v>
      </c>
      <c r="K263" s="215">
        <f t="shared" si="97"/>
        <v>22581.599999999999</v>
      </c>
      <c r="L263" s="215">
        <f t="shared" si="90"/>
        <v>0</v>
      </c>
      <c r="M263" s="221">
        <v>2290.29</v>
      </c>
      <c r="N263" s="215">
        <f t="shared" si="91"/>
        <v>3708.6899999999996</v>
      </c>
      <c r="O263" s="84">
        <f t="shared" si="92"/>
        <v>20291.310000000001</v>
      </c>
      <c r="P263" s="218"/>
    </row>
    <row r="264" spans="1:16" s="148" customFormat="1" ht="35.1" customHeight="1" x14ac:dyDescent="0.2">
      <c r="A264" s="237">
        <f t="shared" si="93"/>
        <v>132</v>
      </c>
      <c r="B264" s="72" t="s">
        <v>564</v>
      </c>
      <c r="C264" s="73" t="s">
        <v>336</v>
      </c>
      <c r="D264" s="72" t="s">
        <v>22</v>
      </c>
      <c r="E264" s="72" t="s">
        <v>191</v>
      </c>
      <c r="F264" s="216">
        <v>24000</v>
      </c>
      <c r="G264" s="216">
        <f t="shared" ref="G264:G270" si="107">F264*2.87%</f>
        <v>688.8</v>
      </c>
      <c r="H264" s="216">
        <f t="shared" ref="H264:H270" si="108">+F264*3.04%</f>
        <v>729.6</v>
      </c>
      <c r="I264" s="216"/>
      <c r="J264" s="215">
        <f t="shared" ref="J264:J270" si="109">+G264+H264+I264</f>
        <v>1418.4</v>
      </c>
      <c r="K264" s="215">
        <f t="shared" ref="K264:K270" si="110">+F264-J264</f>
        <v>22581.599999999999</v>
      </c>
      <c r="L264" s="215">
        <f t="shared" si="90"/>
        <v>0</v>
      </c>
      <c r="M264" s="221">
        <v>7206.22</v>
      </c>
      <c r="N264" s="215">
        <f t="shared" si="91"/>
        <v>8624.6200000000008</v>
      </c>
      <c r="O264" s="84">
        <f t="shared" si="92"/>
        <v>15375.38</v>
      </c>
      <c r="P264" s="219"/>
    </row>
    <row r="265" spans="1:16" s="218" customFormat="1" ht="35.1" customHeight="1" x14ac:dyDescent="0.2">
      <c r="A265" s="237">
        <f t="shared" si="93"/>
        <v>133</v>
      </c>
      <c r="B265" s="72" t="s">
        <v>565</v>
      </c>
      <c r="C265" s="73" t="s">
        <v>336</v>
      </c>
      <c r="D265" s="72" t="s">
        <v>22</v>
      </c>
      <c r="E265" s="72" t="s">
        <v>191</v>
      </c>
      <c r="F265" s="216">
        <v>24000</v>
      </c>
      <c r="G265" s="216">
        <f t="shared" si="107"/>
        <v>688.8</v>
      </c>
      <c r="H265" s="216">
        <f t="shared" si="108"/>
        <v>729.6</v>
      </c>
      <c r="I265" s="216"/>
      <c r="J265" s="215">
        <f t="shared" si="109"/>
        <v>1418.4</v>
      </c>
      <c r="K265" s="215">
        <f t="shared" si="110"/>
        <v>22581.599999999999</v>
      </c>
      <c r="L265" s="215">
        <f t="shared" si="90"/>
        <v>0</v>
      </c>
      <c r="M265" s="221">
        <v>2290.29</v>
      </c>
      <c r="N265" s="215">
        <f t="shared" si="91"/>
        <v>3708.6899999999996</v>
      </c>
      <c r="O265" s="84">
        <f t="shared" si="92"/>
        <v>20291.310000000001</v>
      </c>
    </row>
    <row r="266" spans="1:16" s="218" customFormat="1" ht="35.1" customHeight="1" x14ac:dyDescent="0.2">
      <c r="A266" s="237">
        <f t="shared" si="93"/>
        <v>134</v>
      </c>
      <c r="B266" s="72" t="s">
        <v>566</v>
      </c>
      <c r="C266" s="299" t="s">
        <v>335</v>
      </c>
      <c r="D266" s="72" t="s">
        <v>22</v>
      </c>
      <c r="E266" s="72" t="s">
        <v>191</v>
      </c>
      <c r="F266" s="216">
        <v>24000</v>
      </c>
      <c r="G266" s="216">
        <f t="shared" si="107"/>
        <v>688.8</v>
      </c>
      <c r="H266" s="216">
        <f t="shared" si="108"/>
        <v>729.6</v>
      </c>
      <c r="I266" s="216"/>
      <c r="J266" s="215">
        <f t="shared" si="109"/>
        <v>1418.4</v>
      </c>
      <c r="K266" s="215">
        <f t="shared" si="110"/>
        <v>22581.599999999999</v>
      </c>
      <c r="L266" s="215">
        <f t="shared" si="90"/>
        <v>0</v>
      </c>
      <c r="M266" s="221">
        <v>2822.09</v>
      </c>
      <c r="N266" s="215">
        <f t="shared" si="91"/>
        <v>4240.49</v>
      </c>
      <c r="O266" s="84">
        <f t="shared" si="92"/>
        <v>19759.510000000002</v>
      </c>
    </row>
    <row r="267" spans="1:16" s="218" customFormat="1" ht="35.1" customHeight="1" x14ac:dyDescent="0.2">
      <c r="A267" s="237">
        <f t="shared" si="93"/>
        <v>135</v>
      </c>
      <c r="B267" s="72" t="s">
        <v>576</v>
      </c>
      <c r="C267" s="299" t="s">
        <v>335</v>
      </c>
      <c r="D267" s="72" t="s">
        <v>22</v>
      </c>
      <c r="E267" s="72" t="s">
        <v>191</v>
      </c>
      <c r="F267" s="216">
        <v>24000</v>
      </c>
      <c r="G267" s="216">
        <f t="shared" si="107"/>
        <v>688.8</v>
      </c>
      <c r="H267" s="216">
        <f t="shared" si="108"/>
        <v>729.6</v>
      </c>
      <c r="I267" s="216"/>
      <c r="J267" s="215">
        <f t="shared" si="109"/>
        <v>1418.4</v>
      </c>
      <c r="K267" s="215">
        <f t="shared" si="110"/>
        <v>22581.599999999999</v>
      </c>
      <c r="L267" s="215">
        <f t="shared" si="90"/>
        <v>0</v>
      </c>
      <c r="M267" s="221">
        <v>225</v>
      </c>
      <c r="N267" s="215">
        <f t="shared" si="91"/>
        <v>1643.4</v>
      </c>
      <c r="O267" s="84">
        <f t="shared" si="92"/>
        <v>22356.6</v>
      </c>
    </row>
    <row r="268" spans="1:16" s="218" customFormat="1" ht="35.1" customHeight="1" x14ac:dyDescent="0.2">
      <c r="A268" s="237">
        <f t="shared" si="93"/>
        <v>136</v>
      </c>
      <c r="B268" s="72" t="s">
        <v>577</v>
      </c>
      <c r="C268" s="299" t="s">
        <v>336</v>
      </c>
      <c r="D268" s="72" t="s">
        <v>22</v>
      </c>
      <c r="E268" s="72" t="s">
        <v>191</v>
      </c>
      <c r="F268" s="216">
        <v>24000</v>
      </c>
      <c r="G268" s="216">
        <f t="shared" si="107"/>
        <v>688.8</v>
      </c>
      <c r="H268" s="216">
        <f t="shared" si="108"/>
        <v>729.6</v>
      </c>
      <c r="I268" s="216"/>
      <c r="J268" s="215">
        <f t="shared" si="109"/>
        <v>1418.4</v>
      </c>
      <c r="K268" s="215">
        <f t="shared" si="110"/>
        <v>22581.599999999999</v>
      </c>
      <c r="L268" s="215">
        <f t="shared" si="90"/>
        <v>0</v>
      </c>
      <c r="M268" s="221">
        <v>1290.29</v>
      </c>
      <c r="N268" s="215">
        <f t="shared" si="91"/>
        <v>2708.6899999999996</v>
      </c>
      <c r="O268" s="84">
        <f t="shared" si="92"/>
        <v>21291.31</v>
      </c>
    </row>
    <row r="269" spans="1:16" s="218" customFormat="1" ht="35.1" customHeight="1" x14ac:dyDescent="0.2">
      <c r="A269" s="237">
        <f t="shared" si="93"/>
        <v>137</v>
      </c>
      <c r="B269" s="72" t="s">
        <v>594</v>
      </c>
      <c r="C269" s="299" t="s">
        <v>336</v>
      </c>
      <c r="D269" s="72" t="s">
        <v>22</v>
      </c>
      <c r="E269" s="72" t="s">
        <v>191</v>
      </c>
      <c r="F269" s="216">
        <v>24000</v>
      </c>
      <c r="G269" s="216">
        <f t="shared" si="107"/>
        <v>688.8</v>
      </c>
      <c r="H269" s="216">
        <f t="shared" si="108"/>
        <v>729.6</v>
      </c>
      <c r="I269" s="216"/>
      <c r="J269" s="215">
        <f t="shared" si="109"/>
        <v>1418.4</v>
      </c>
      <c r="K269" s="215">
        <f t="shared" si="110"/>
        <v>22581.599999999999</v>
      </c>
      <c r="L269" s="215">
        <f t="shared" si="90"/>
        <v>0</v>
      </c>
      <c r="M269" s="221">
        <v>790.29</v>
      </c>
      <c r="N269" s="215">
        <f t="shared" si="91"/>
        <v>2208.6899999999996</v>
      </c>
      <c r="O269" s="84">
        <f t="shared" si="92"/>
        <v>21791.31</v>
      </c>
    </row>
    <row r="270" spans="1:16" s="218" customFormat="1" ht="35.1" customHeight="1" x14ac:dyDescent="0.2">
      <c r="A270" s="237">
        <f t="shared" si="93"/>
        <v>138</v>
      </c>
      <c r="B270" s="72" t="s">
        <v>605</v>
      </c>
      <c r="C270" s="299" t="s">
        <v>336</v>
      </c>
      <c r="D270" s="72" t="s">
        <v>22</v>
      </c>
      <c r="E270" s="72" t="s">
        <v>191</v>
      </c>
      <c r="F270" s="216">
        <v>24000</v>
      </c>
      <c r="G270" s="216">
        <f t="shared" si="107"/>
        <v>688.8</v>
      </c>
      <c r="H270" s="216">
        <f t="shared" si="108"/>
        <v>729.6</v>
      </c>
      <c r="I270" s="216"/>
      <c r="J270" s="215">
        <f t="shared" si="109"/>
        <v>1418.4</v>
      </c>
      <c r="K270" s="215">
        <f t="shared" si="110"/>
        <v>22581.599999999999</v>
      </c>
      <c r="L270" s="215">
        <f t="shared" si="90"/>
        <v>0</v>
      </c>
      <c r="M270" s="221">
        <v>790.29</v>
      </c>
      <c r="N270" s="215">
        <f t="shared" si="91"/>
        <v>2208.6899999999996</v>
      </c>
      <c r="O270" s="84">
        <f t="shared" si="92"/>
        <v>21791.31</v>
      </c>
    </row>
    <row r="271" spans="1:16" s="242" customFormat="1" ht="35.1" customHeight="1" x14ac:dyDescent="0.2">
      <c r="A271" s="223" t="s">
        <v>99</v>
      </c>
      <c r="B271" s="224"/>
      <c r="C271" s="224"/>
      <c r="D271" s="224"/>
      <c r="E271" s="239"/>
      <c r="F271" s="225">
        <f t="shared" ref="F271:N271" si="111">SUM(F240:F270)</f>
        <v>958000</v>
      </c>
      <c r="G271" s="225">
        <f t="shared" si="111"/>
        <v>27494.599999999988</v>
      </c>
      <c r="H271" s="225">
        <f t="shared" si="111"/>
        <v>29123.199999999979</v>
      </c>
      <c r="I271" s="225">
        <f t="shared" si="111"/>
        <v>7679.12</v>
      </c>
      <c r="J271" s="225">
        <f t="shared" si="111"/>
        <v>64296.920000000035</v>
      </c>
      <c r="K271" s="225">
        <f t="shared" si="111"/>
        <v>893703.07999999949</v>
      </c>
      <c r="L271" s="225">
        <f t="shared" si="111"/>
        <v>6691.0747499999989</v>
      </c>
      <c r="M271" s="225">
        <f t="shared" si="111"/>
        <v>106996.88999999996</v>
      </c>
      <c r="N271" s="225">
        <f t="shared" si="111"/>
        <v>177984.88474999997</v>
      </c>
      <c r="O271" s="225">
        <f>SUM(O240:O270)</f>
        <v>780015.11525000026</v>
      </c>
    </row>
    <row r="272" spans="1:16" s="219" customFormat="1" ht="35.1" customHeight="1" thickBot="1" x14ac:dyDescent="0.25">
      <c r="A272" s="146"/>
      <c r="B272" s="146"/>
      <c r="C272" s="146"/>
      <c r="D272" s="146"/>
      <c r="E272" s="146"/>
      <c r="F272" s="226"/>
      <c r="G272" s="226"/>
      <c r="H272" s="226"/>
      <c r="I272" s="226"/>
      <c r="J272" s="226"/>
      <c r="K272" s="226"/>
      <c r="L272" s="226"/>
      <c r="M272" s="226"/>
      <c r="N272" s="226"/>
      <c r="O272" s="226"/>
    </row>
    <row r="273" spans="1:16" s="219" customFormat="1" ht="35.1" customHeight="1" thickBot="1" x14ac:dyDescent="0.25">
      <c r="A273" s="229" t="s">
        <v>266</v>
      </c>
      <c r="B273" s="230"/>
      <c r="C273" s="230"/>
      <c r="D273" s="230"/>
      <c r="E273" s="230"/>
      <c r="F273" s="230"/>
      <c r="G273" s="230"/>
      <c r="H273" s="230"/>
      <c r="I273" s="230"/>
      <c r="J273" s="230"/>
      <c r="K273" s="230"/>
      <c r="L273" s="230"/>
      <c r="M273" s="230"/>
      <c r="N273" s="230"/>
      <c r="O273" s="230"/>
    </row>
    <row r="274" spans="1:16" s="219" customFormat="1" ht="35.1" customHeight="1" x14ac:dyDescent="0.2">
      <c r="A274" s="73">
        <f>+A243+1</f>
        <v>112</v>
      </c>
      <c r="B274" s="72" t="s">
        <v>268</v>
      </c>
      <c r="C274" s="73" t="s">
        <v>335</v>
      </c>
      <c r="D274" s="72" t="s">
        <v>267</v>
      </c>
      <c r="E274" s="72" t="s">
        <v>191</v>
      </c>
      <c r="F274" s="216">
        <v>55000</v>
      </c>
      <c r="G274" s="68">
        <f>F274*2.87%</f>
        <v>1578.5</v>
      </c>
      <c r="H274" s="68">
        <f>+F274*3.04%</f>
        <v>1672</v>
      </c>
      <c r="I274" s="68">
        <v>1919.78</v>
      </c>
      <c r="J274" s="69">
        <f>+G274+H274+I274</f>
        <v>5170.28</v>
      </c>
      <c r="K274" s="69">
        <f>+F274-J274</f>
        <v>49829.72</v>
      </c>
      <c r="L274" s="69">
        <f t="shared" ref="L274:L277" si="112">+IF(K274*12&lt;=416220.01,0,IF(K274*12&lt;=624329.01,(((K274*12-416220.01)*0.15)/12),IF((K274*12&lt;=867123.01),(31216+0.2*(K274*12-624329.01))/12,((79776+0.25*(K274*12-867123.01))/12))))</f>
        <v>2271.7078750000001</v>
      </c>
      <c r="M274" s="221">
        <v>225</v>
      </c>
      <c r="N274" s="215">
        <f>+M274+I274+H274+G274+L274</f>
        <v>7666.9878749999998</v>
      </c>
      <c r="O274" s="84">
        <f>+F274-N274</f>
        <v>47333.012125000001</v>
      </c>
    </row>
    <row r="275" spans="1:16" s="219" customFormat="1" ht="35.1" customHeight="1" x14ac:dyDescent="0.2">
      <c r="A275" s="73">
        <v>114</v>
      </c>
      <c r="B275" s="216" t="s">
        <v>521</v>
      </c>
      <c r="C275" s="273" t="s">
        <v>335</v>
      </c>
      <c r="D275" s="72" t="s">
        <v>267</v>
      </c>
      <c r="E275" s="72" t="s">
        <v>191</v>
      </c>
      <c r="F275" s="221">
        <v>50000</v>
      </c>
      <c r="G275" s="216">
        <f>F275*2.87%</f>
        <v>1435</v>
      </c>
      <c r="H275" s="216">
        <f>+F275*3.04%</f>
        <v>1520</v>
      </c>
      <c r="I275" s="68">
        <v>1919.78</v>
      </c>
      <c r="J275" s="69">
        <f>+G275+H275+I275</f>
        <v>4874.78</v>
      </c>
      <c r="K275" s="69">
        <f>+F275-J275</f>
        <v>45125.22</v>
      </c>
      <c r="L275" s="69">
        <f>+IF(K275*12&lt;=416220.01,0,IF(K275*12&lt;=624329.01,(((K275*12-416220.01)*0.15)/12),IF((K275*12&lt;=867123.01),(31216+0.2*(K275*12-624329.01))/12,((79776+0.25*(K275*12-867123.01))/12))))</f>
        <v>1566.0328749999999</v>
      </c>
      <c r="M275" s="215">
        <v>265</v>
      </c>
      <c r="N275" s="215">
        <f>+M275+I275+H275+G275+L275</f>
        <v>6705.8128749999996</v>
      </c>
      <c r="O275" s="84">
        <f>+F275-N275</f>
        <v>43294.187124999997</v>
      </c>
    </row>
    <row r="276" spans="1:16" s="219" customFormat="1" ht="35.1" customHeight="1" x14ac:dyDescent="0.2">
      <c r="A276" s="73">
        <v>115</v>
      </c>
      <c r="B276" s="72" t="s">
        <v>262</v>
      </c>
      <c r="C276" s="73" t="s">
        <v>335</v>
      </c>
      <c r="D276" s="72" t="s">
        <v>116</v>
      </c>
      <c r="E276" s="72" t="s">
        <v>191</v>
      </c>
      <c r="F276" s="216">
        <v>28000</v>
      </c>
      <c r="G276" s="216">
        <f t="shared" ref="G276:G278" si="113">F276*2.87%</f>
        <v>803.6</v>
      </c>
      <c r="H276" s="216">
        <f t="shared" ref="H276:H278" si="114">+F276*3.04%</f>
        <v>851.2</v>
      </c>
      <c r="I276" s="68"/>
      <c r="J276" s="69">
        <f t="shared" ref="J276" si="115">+G276+H276+I276</f>
        <v>1654.8000000000002</v>
      </c>
      <c r="K276" s="69">
        <f t="shared" ref="K276" si="116">+F276-J276</f>
        <v>26345.200000000001</v>
      </c>
      <c r="L276" s="69">
        <f t="shared" si="112"/>
        <v>0</v>
      </c>
      <c r="M276" s="221">
        <v>8553.8700000000008</v>
      </c>
      <c r="N276" s="69">
        <f>+M276+I276+H276+G276+L276</f>
        <v>10208.670000000002</v>
      </c>
      <c r="O276" s="84">
        <f>+F276-N276</f>
        <v>17791.329999999998</v>
      </c>
    </row>
    <row r="277" spans="1:16" s="219" customFormat="1" ht="35.1" customHeight="1" x14ac:dyDescent="0.2">
      <c r="A277" s="73">
        <v>116</v>
      </c>
      <c r="B277" s="216" t="s">
        <v>552</v>
      </c>
      <c r="C277" s="273" t="s">
        <v>335</v>
      </c>
      <c r="D277" s="241" t="s">
        <v>116</v>
      </c>
      <c r="E277" s="72" t="s">
        <v>191</v>
      </c>
      <c r="F277" s="234">
        <v>24000</v>
      </c>
      <c r="G277" s="68">
        <f t="shared" si="113"/>
        <v>688.8</v>
      </c>
      <c r="H277" s="68">
        <f t="shared" si="114"/>
        <v>729.6</v>
      </c>
      <c r="I277" s="68"/>
      <c r="J277" s="69">
        <f t="shared" si="80"/>
        <v>1418.4</v>
      </c>
      <c r="K277" s="69">
        <f>+F277-J277</f>
        <v>22581.599999999999</v>
      </c>
      <c r="L277" s="69">
        <f t="shared" si="112"/>
        <v>0</v>
      </c>
      <c r="M277" s="69">
        <v>25</v>
      </c>
      <c r="N277" s="215">
        <f>+M277+I277+H277+G277+L277</f>
        <v>1443.4</v>
      </c>
      <c r="O277" s="84">
        <f>+F277-N277</f>
        <v>22556.6</v>
      </c>
    </row>
    <row r="278" spans="1:16" s="219" customFormat="1" ht="35.1" customHeight="1" x14ac:dyDescent="0.2">
      <c r="A278" s="73">
        <v>117</v>
      </c>
      <c r="B278" s="216" t="s">
        <v>636</v>
      </c>
      <c r="C278" s="273" t="s">
        <v>335</v>
      </c>
      <c r="D278" s="241" t="s">
        <v>116</v>
      </c>
      <c r="E278" s="72" t="s">
        <v>191</v>
      </c>
      <c r="F278" s="234">
        <v>24000</v>
      </c>
      <c r="G278" s="68">
        <f t="shared" si="113"/>
        <v>688.8</v>
      </c>
      <c r="H278" s="68">
        <f t="shared" si="114"/>
        <v>729.6</v>
      </c>
      <c r="I278" s="68"/>
      <c r="J278" s="69">
        <f t="shared" si="80"/>
        <v>1418.4</v>
      </c>
      <c r="K278" s="69">
        <f>+F278-J278</f>
        <v>22581.599999999999</v>
      </c>
      <c r="L278" s="69"/>
      <c r="M278" s="69">
        <v>25</v>
      </c>
      <c r="N278" s="215">
        <f>+M278+I278+H278+G278+L278</f>
        <v>1443.4</v>
      </c>
      <c r="O278" s="84">
        <f>+F278-N278</f>
        <v>22556.6</v>
      </c>
    </row>
    <row r="279" spans="1:16" s="219" customFormat="1" ht="35.1" customHeight="1" thickBot="1" x14ac:dyDescent="0.25">
      <c r="A279" s="223" t="s">
        <v>99</v>
      </c>
      <c r="B279" s="224"/>
      <c r="C279" s="224"/>
      <c r="D279" s="224"/>
      <c r="E279" s="239"/>
      <c r="F279" s="225">
        <f t="shared" ref="F279:O279" si="117">SUM(F274:F278)</f>
        <v>181000</v>
      </c>
      <c r="G279" s="225">
        <f t="shared" si="117"/>
        <v>5194.7</v>
      </c>
      <c r="H279" s="225">
        <f t="shared" si="117"/>
        <v>5502.4000000000005</v>
      </c>
      <c r="I279" s="225">
        <f t="shared" si="117"/>
        <v>3839.56</v>
      </c>
      <c r="J279" s="225">
        <f t="shared" si="117"/>
        <v>14536.66</v>
      </c>
      <c r="K279" s="225">
        <f t="shared" si="117"/>
        <v>166463.34</v>
      </c>
      <c r="L279" s="225">
        <f t="shared" si="117"/>
        <v>3837.7407499999999</v>
      </c>
      <c r="M279" s="225">
        <f t="shared" si="117"/>
        <v>9093.8700000000008</v>
      </c>
      <c r="N279" s="225">
        <f t="shared" si="117"/>
        <v>27468.270750000003</v>
      </c>
      <c r="O279" s="225">
        <f t="shared" si="117"/>
        <v>153531.72925</v>
      </c>
    </row>
    <row r="280" spans="1:16" s="219" customFormat="1" ht="35.1" customHeight="1" thickBot="1" x14ac:dyDescent="0.25">
      <c r="A280" s="229" t="s">
        <v>269</v>
      </c>
      <c r="B280" s="230"/>
      <c r="C280" s="230"/>
      <c r="D280" s="230"/>
      <c r="E280" s="230"/>
      <c r="F280" s="230"/>
      <c r="G280" s="230"/>
      <c r="H280" s="230"/>
      <c r="I280" s="230"/>
      <c r="J280" s="230"/>
      <c r="K280" s="230"/>
      <c r="L280" s="230"/>
      <c r="M280" s="230"/>
      <c r="N280" s="230"/>
      <c r="O280" s="230"/>
    </row>
    <row r="281" spans="1:16" s="219" customFormat="1" ht="35.1" customHeight="1" x14ac:dyDescent="0.2">
      <c r="A281" s="73">
        <f>+A278+1</f>
        <v>118</v>
      </c>
      <c r="B281" s="72" t="s">
        <v>106</v>
      </c>
      <c r="C281" s="73" t="s">
        <v>335</v>
      </c>
      <c r="D281" s="72" t="s">
        <v>108</v>
      </c>
      <c r="E281" s="72" t="s">
        <v>191</v>
      </c>
      <c r="F281" s="216">
        <v>60000</v>
      </c>
      <c r="G281" s="216">
        <f>F281*2.87%</f>
        <v>1722</v>
      </c>
      <c r="H281" s="216">
        <f>+F281*3.04%</f>
        <v>1824</v>
      </c>
      <c r="I281" s="216"/>
      <c r="J281" s="215">
        <f t="shared" si="80"/>
        <v>3546</v>
      </c>
      <c r="K281" s="215">
        <f>+F281-J281</f>
        <v>56454</v>
      </c>
      <c r="L281" s="69">
        <v>3348.03</v>
      </c>
      <c r="M281" s="221">
        <v>25</v>
      </c>
      <c r="N281" s="215">
        <f t="shared" ref="N281:N304" si="118">+M281+I281+H281+G281+L281</f>
        <v>6919.0300000000007</v>
      </c>
      <c r="O281" s="221">
        <f t="shared" ref="O281:O304" si="119">+F281-N281</f>
        <v>53080.97</v>
      </c>
    </row>
    <row r="282" spans="1:16" s="219" customFormat="1" ht="35.1" customHeight="1" x14ac:dyDescent="0.2">
      <c r="A282" s="73">
        <f>+A281+1</f>
        <v>119</v>
      </c>
      <c r="B282" s="72" t="s">
        <v>23</v>
      </c>
      <c r="C282" s="73" t="s">
        <v>335</v>
      </c>
      <c r="D282" s="72" t="s">
        <v>108</v>
      </c>
      <c r="E282" s="72" t="s">
        <v>97</v>
      </c>
      <c r="F282" s="216">
        <v>60000</v>
      </c>
      <c r="G282" s="216">
        <f t="shared" ref="G282:G289" si="120">F282*2.87%</f>
        <v>1722</v>
      </c>
      <c r="H282" s="216">
        <f t="shared" ref="H282:H296" si="121">+F282*3.04%</f>
        <v>1824</v>
      </c>
      <c r="I282" s="216"/>
      <c r="J282" s="215">
        <f t="shared" si="80"/>
        <v>3546</v>
      </c>
      <c r="K282" s="215">
        <f t="shared" ref="K282:K303" si="122">+F282-J282</f>
        <v>56454</v>
      </c>
      <c r="L282" s="69">
        <v>3348.03</v>
      </c>
      <c r="M282" s="221">
        <v>265</v>
      </c>
      <c r="N282" s="215">
        <f t="shared" si="118"/>
        <v>7159.0300000000007</v>
      </c>
      <c r="O282" s="221">
        <f t="shared" si="119"/>
        <v>52840.97</v>
      </c>
    </row>
    <row r="283" spans="1:16" s="149" customFormat="1" ht="35.1" customHeight="1" x14ac:dyDescent="0.2">
      <c r="A283" s="73">
        <f>+A282+1</f>
        <v>120</v>
      </c>
      <c r="B283" s="72" t="s">
        <v>470</v>
      </c>
      <c r="C283" s="73" t="s">
        <v>336</v>
      </c>
      <c r="D283" s="88" t="s">
        <v>13</v>
      </c>
      <c r="E283" s="72" t="s">
        <v>191</v>
      </c>
      <c r="F283" s="216">
        <v>38000</v>
      </c>
      <c r="G283" s="216">
        <f>F283*2.87%</f>
        <v>1090.5999999999999</v>
      </c>
      <c r="H283" s="216">
        <f>+F283*3.04%</f>
        <v>1155.2</v>
      </c>
      <c r="I283" s="216"/>
      <c r="J283" s="215">
        <f>+G283+H283+I283</f>
        <v>2245.8000000000002</v>
      </c>
      <c r="K283" s="215">
        <f>+F283-J283</f>
        <v>35754.199999999997</v>
      </c>
      <c r="L283" s="69">
        <v>0</v>
      </c>
      <c r="M283" s="221">
        <v>2323.69</v>
      </c>
      <c r="N283" s="215">
        <f t="shared" si="118"/>
        <v>4569.49</v>
      </c>
      <c r="O283" s="215">
        <f t="shared" si="119"/>
        <v>33430.51</v>
      </c>
      <c r="P283" s="218"/>
    </row>
    <row r="284" spans="1:16" s="149" customFormat="1" ht="35.1" customHeight="1" x14ac:dyDescent="0.2">
      <c r="A284" s="73">
        <f>+A283+1</f>
        <v>121</v>
      </c>
      <c r="B284" s="72" t="s">
        <v>270</v>
      </c>
      <c r="C284" s="73" t="s">
        <v>335</v>
      </c>
      <c r="D284" s="72" t="s">
        <v>25</v>
      </c>
      <c r="E284" s="72" t="s">
        <v>191</v>
      </c>
      <c r="F284" s="216">
        <v>36000</v>
      </c>
      <c r="G284" s="216">
        <f t="shared" si="120"/>
        <v>1033.2</v>
      </c>
      <c r="H284" s="216">
        <f t="shared" si="121"/>
        <v>1094.4000000000001</v>
      </c>
      <c r="I284" s="216"/>
      <c r="J284" s="215">
        <f t="shared" si="80"/>
        <v>2127.6000000000004</v>
      </c>
      <c r="K284" s="215">
        <f t="shared" si="122"/>
        <v>33872.400000000001</v>
      </c>
      <c r="L284" s="69">
        <f t="shared" ref="L284:L304" si="123">+IF(K284*12&lt;=416220.01,0,IF(K284*12&lt;=624329.01,(((K284*12-416220.01)*0.15)/12),IF((K284*12&lt;=867123.01),(31216+0.2*(K284*12-624329.01))/12,((79776+0.25*(K284*12-867123.01))/12))))</f>
        <v>0</v>
      </c>
      <c r="M284" s="221">
        <v>345</v>
      </c>
      <c r="N284" s="215">
        <f t="shared" si="118"/>
        <v>2472.6000000000004</v>
      </c>
      <c r="O284" s="221">
        <f t="shared" si="119"/>
        <v>33527.4</v>
      </c>
      <c r="P284" s="218"/>
    </row>
    <row r="285" spans="1:16" s="149" customFormat="1" ht="35.1" customHeight="1" x14ac:dyDescent="0.2">
      <c r="A285" s="73">
        <f>+A284+1</f>
        <v>122</v>
      </c>
      <c r="B285" s="72" t="s">
        <v>271</v>
      </c>
      <c r="C285" s="73" t="s">
        <v>335</v>
      </c>
      <c r="D285" s="72" t="s">
        <v>25</v>
      </c>
      <c r="E285" s="72" t="s">
        <v>191</v>
      </c>
      <c r="F285" s="216">
        <v>36000</v>
      </c>
      <c r="G285" s="216">
        <f t="shared" si="120"/>
        <v>1033.2</v>
      </c>
      <c r="H285" s="216">
        <f t="shared" si="121"/>
        <v>1094.4000000000001</v>
      </c>
      <c r="I285" s="216"/>
      <c r="J285" s="215">
        <f t="shared" si="80"/>
        <v>2127.6000000000004</v>
      </c>
      <c r="K285" s="215">
        <f t="shared" si="122"/>
        <v>33872.400000000001</v>
      </c>
      <c r="L285" s="69">
        <f t="shared" si="123"/>
        <v>0</v>
      </c>
      <c r="M285" s="221">
        <v>4060.89</v>
      </c>
      <c r="N285" s="215">
        <f t="shared" si="118"/>
        <v>6188.49</v>
      </c>
      <c r="O285" s="221">
        <f t="shared" si="119"/>
        <v>29811.510000000002</v>
      </c>
      <c r="P285" s="218"/>
    </row>
    <row r="286" spans="1:16" s="149" customFormat="1" ht="35.1" customHeight="1" x14ac:dyDescent="0.2">
      <c r="A286" s="73">
        <f t="shared" ref="A286:A297" si="124">+A285+1</f>
        <v>123</v>
      </c>
      <c r="B286" s="72" t="s">
        <v>61</v>
      </c>
      <c r="C286" s="73" t="s">
        <v>335</v>
      </c>
      <c r="D286" s="72" t="s">
        <v>25</v>
      </c>
      <c r="E286" s="72" t="s">
        <v>191</v>
      </c>
      <c r="F286" s="216">
        <v>36000</v>
      </c>
      <c r="G286" s="216">
        <f t="shared" si="120"/>
        <v>1033.2</v>
      </c>
      <c r="H286" s="216">
        <f t="shared" si="121"/>
        <v>1094.4000000000001</v>
      </c>
      <c r="I286" s="216"/>
      <c r="J286" s="215">
        <f t="shared" ref="J286:J296" si="125">+G286+H286+I286</f>
        <v>2127.6000000000004</v>
      </c>
      <c r="K286" s="215">
        <f t="shared" si="122"/>
        <v>33872.400000000001</v>
      </c>
      <c r="L286" s="69">
        <f t="shared" si="123"/>
        <v>0</v>
      </c>
      <c r="M286" s="221">
        <v>5083.78</v>
      </c>
      <c r="N286" s="215">
        <f t="shared" si="118"/>
        <v>7211.38</v>
      </c>
      <c r="O286" s="221">
        <f t="shared" si="119"/>
        <v>28788.62</v>
      </c>
      <c r="P286" s="218"/>
    </row>
    <row r="287" spans="1:16" s="149" customFormat="1" ht="35.1" customHeight="1" x14ac:dyDescent="0.2">
      <c r="A287" s="73">
        <f t="shared" si="124"/>
        <v>124</v>
      </c>
      <c r="B287" s="72" t="s">
        <v>26</v>
      </c>
      <c r="C287" s="73" t="s">
        <v>335</v>
      </c>
      <c r="D287" s="72" t="s">
        <v>25</v>
      </c>
      <c r="E287" s="72" t="s">
        <v>191</v>
      </c>
      <c r="F287" s="216">
        <v>36000</v>
      </c>
      <c r="G287" s="216">
        <f t="shared" si="120"/>
        <v>1033.2</v>
      </c>
      <c r="H287" s="216">
        <f t="shared" si="121"/>
        <v>1094.4000000000001</v>
      </c>
      <c r="I287" s="216"/>
      <c r="J287" s="215">
        <f t="shared" si="125"/>
        <v>2127.6000000000004</v>
      </c>
      <c r="K287" s="215">
        <f t="shared" si="122"/>
        <v>33872.400000000001</v>
      </c>
      <c r="L287" s="69">
        <f t="shared" si="123"/>
        <v>0</v>
      </c>
      <c r="M287" s="221">
        <v>765</v>
      </c>
      <c r="N287" s="215">
        <f t="shared" si="118"/>
        <v>2892.6000000000004</v>
      </c>
      <c r="O287" s="221">
        <f t="shared" si="119"/>
        <v>33107.4</v>
      </c>
      <c r="P287" s="218"/>
    </row>
    <row r="288" spans="1:16" s="149" customFormat="1" ht="35.1" customHeight="1" x14ac:dyDescent="0.2">
      <c r="A288" s="73">
        <f t="shared" si="124"/>
        <v>125</v>
      </c>
      <c r="B288" s="72" t="s">
        <v>107</v>
      </c>
      <c r="C288" s="73" t="s">
        <v>335</v>
      </c>
      <c r="D288" s="88" t="s">
        <v>109</v>
      </c>
      <c r="E288" s="72" t="s">
        <v>191</v>
      </c>
      <c r="F288" s="216">
        <v>35000</v>
      </c>
      <c r="G288" s="216">
        <f>F288*2.87%</f>
        <v>1004.5</v>
      </c>
      <c r="H288" s="216">
        <f>+F288*3.04%</f>
        <v>1064</v>
      </c>
      <c r="I288" s="216"/>
      <c r="J288" s="215">
        <f t="shared" si="125"/>
        <v>2068.5</v>
      </c>
      <c r="K288" s="215">
        <f t="shared" si="122"/>
        <v>32931.5</v>
      </c>
      <c r="L288" s="69">
        <f t="shared" si="123"/>
        <v>0</v>
      </c>
      <c r="M288" s="221">
        <v>25</v>
      </c>
      <c r="N288" s="215">
        <f t="shared" si="118"/>
        <v>2093.5</v>
      </c>
      <c r="O288" s="221">
        <f t="shared" si="119"/>
        <v>32906.5</v>
      </c>
      <c r="P288" s="218"/>
    </row>
    <row r="289" spans="1:16" s="149" customFormat="1" ht="35.1" customHeight="1" x14ac:dyDescent="0.2">
      <c r="A289" s="73">
        <f>+A288+1</f>
        <v>126</v>
      </c>
      <c r="B289" s="72" t="s">
        <v>273</v>
      </c>
      <c r="C289" s="73" t="s">
        <v>335</v>
      </c>
      <c r="D289" s="88" t="s">
        <v>114</v>
      </c>
      <c r="E289" s="72" t="s">
        <v>191</v>
      </c>
      <c r="F289" s="216">
        <v>36000</v>
      </c>
      <c r="G289" s="216">
        <f t="shared" si="120"/>
        <v>1033.2</v>
      </c>
      <c r="H289" s="216">
        <f t="shared" si="121"/>
        <v>1094.4000000000001</v>
      </c>
      <c r="I289" s="216">
        <v>1919.78</v>
      </c>
      <c r="J289" s="215">
        <f t="shared" si="125"/>
        <v>4047.38</v>
      </c>
      <c r="K289" s="215">
        <f t="shared" si="122"/>
        <v>31952.62</v>
      </c>
      <c r="L289" s="69">
        <f t="shared" si="123"/>
        <v>0</v>
      </c>
      <c r="M289" s="221">
        <v>2290.29</v>
      </c>
      <c r="N289" s="215">
        <f t="shared" si="118"/>
        <v>6337.6699999999992</v>
      </c>
      <c r="O289" s="221">
        <f t="shared" si="119"/>
        <v>29662.33</v>
      </c>
      <c r="P289" s="218"/>
    </row>
    <row r="290" spans="1:16" s="149" customFormat="1" ht="35.1" customHeight="1" x14ac:dyDescent="0.2">
      <c r="A290" s="73">
        <f t="shared" si="124"/>
        <v>127</v>
      </c>
      <c r="B290" s="72" t="s">
        <v>272</v>
      </c>
      <c r="C290" s="73" t="s">
        <v>335</v>
      </c>
      <c r="D290" s="72" t="s">
        <v>114</v>
      </c>
      <c r="E290" s="72" t="s">
        <v>191</v>
      </c>
      <c r="F290" s="216">
        <v>36000</v>
      </c>
      <c r="G290" s="216">
        <f t="shared" ref="G290:G293" si="126">F290*2.87%</f>
        <v>1033.2</v>
      </c>
      <c r="H290" s="216">
        <f t="shared" ref="H290:H293" si="127">+F290*3.04%</f>
        <v>1094.4000000000001</v>
      </c>
      <c r="I290" s="216"/>
      <c r="J290" s="215">
        <f t="shared" si="125"/>
        <v>2127.6000000000004</v>
      </c>
      <c r="K290" s="215">
        <f t="shared" si="122"/>
        <v>33872.400000000001</v>
      </c>
      <c r="L290" s="69">
        <f t="shared" si="123"/>
        <v>0</v>
      </c>
      <c r="M290" s="221">
        <v>1290.29</v>
      </c>
      <c r="N290" s="215">
        <f t="shared" si="118"/>
        <v>3417.8900000000003</v>
      </c>
      <c r="O290" s="221">
        <f t="shared" si="119"/>
        <v>32582.11</v>
      </c>
      <c r="P290" s="218"/>
    </row>
    <row r="291" spans="1:16" s="219" customFormat="1" ht="35.1" customHeight="1" x14ac:dyDescent="0.2">
      <c r="A291" s="73">
        <f t="shared" si="124"/>
        <v>128</v>
      </c>
      <c r="B291" s="72" t="s">
        <v>274</v>
      </c>
      <c r="C291" s="73" t="s">
        <v>335</v>
      </c>
      <c r="D291" s="88" t="s">
        <v>109</v>
      </c>
      <c r="E291" s="72" t="s">
        <v>191</v>
      </c>
      <c r="F291" s="216">
        <v>35000</v>
      </c>
      <c r="G291" s="216">
        <f t="shared" si="126"/>
        <v>1004.5</v>
      </c>
      <c r="H291" s="216">
        <f t="shared" si="127"/>
        <v>1064</v>
      </c>
      <c r="I291" s="216"/>
      <c r="J291" s="215">
        <f>+G291+H291+I291</f>
        <v>2068.5</v>
      </c>
      <c r="K291" s="215">
        <f t="shared" si="122"/>
        <v>32931.5</v>
      </c>
      <c r="L291" s="69">
        <f t="shared" si="123"/>
        <v>0</v>
      </c>
      <c r="M291" s="221">
        <v>25</v>
      </c>
      <c r="N291" s="215">
        <f t="shared" si="118"/>
        <v>2093.5</v>
      </c>
      <c r="O291" s="221">
        <f t="shared" si="119"/>
        <v>32906.5</v>
      </c>
    </row>
    <row r="292" spans="1:16" s="148" customFormat="1" ht="35.1" customHeight="1" x14ac:dyDescent="0.2">
      <c r="A292" s="73">
        <f t="shared" si="124"/>
        <v>129</v>
      </c>
      <c r="B292" s="72" t="s">
        <v>370</v>
      </c>
      <c r="C292" s="73" t="s">
        <v>335</v>
      </c>
      <c r="D292" s="88" t="s">
        <v>371</v>
      </c>
      <c r="E292" s="72" t="s">
        <v>191</v>
      </c>
      <c r="F292" s="216">
        <v>36000</v>
      </c>
      <c r="G292" s="216">
        <f t="shared" si="126"/>
        <v>1033.2</v>
      </c>
      <c r="H292" s="216">
        <f t="shared" si="127"/>
        <v>1094.4000000000001</v>
      </c>
      <c r="I292" s="216">
        <v>1919.78</v>
      </c>
      <c r="J292" s="215">
        <f>+G292+H292+I292</f>
        <v>4047.38</v>
      </c>
      <c r="K292" s="215">
        <f t="shared" si="122"/>
        <v>31952.62</v>
      </c>
      <c r="L292" s="69">
        <f t="shared" si="123"/>
        <v>0</v>
      </c>
      <c r="M292" s="221">
        <v>6435.05</v>
      </c>
      <c r="N292" s="215">
        <f t="shared" si="118"/>
        <v>10482.43</v>
      </c>
      <c r="O292" s="221">
        <f t="shared" si="119"/>
        <v>25517.57</v>
      </c>
      <c r="P292" s="219"/>
    </row>
    <row r="293" spans="1:16" s="219" customFormat="1" ht="35.1" customHeight="1" x14ac:dyDescent="0.2">
      <c r="A293" s="73">
        <f t="shared" si="124"/>
        <v>130</v>
      </c>
      <c r="B293" s="72" t="s">
        <v>414</v>
      </c>
      <c r="C293" s="73" t="s">
        <v>335</v>
      </c>
      <c r="D293" s="72" t="s">
        <v>109</v>
      </c>
      <c r="E293" s="72" t="s">
        <v>191</v>
      </c>
      <c r="F293" s="216">
        <v>36000</v>
      </c>
      <c r="G293" s="216">
        <f t="shared" si="126"/>
        <v>1033.2</v>
      </c>
      <c r="H293" s="216">
        <f t="shared" si="127"/>
        <v>1094.4000000000001</v>
      </c>
      <c r="I293" s="216"/>
      <c r="J293" s="215">
        <f>+G293+H293+I293</f>
        <v>2127.6000000000004</v>
      </c>
      <c r="K293" s="215">
        <f t="shared" si="122"/>
        <v>33872.400000000001</v>
      </c>
      <c r="L293" s="69">
        <f t="shared" si="123"/>
        <v>0</v>
      </c>
      <c r="M293" s="221">
        <v>3330.29</v>
      </c>
      <c r="N293" s="215">
        <f t="shared" si="118"/>
        <v>5457.89</v>
      </c>
      <c r="O293" s="221">
        <f t="shared" si="119"/>
        <v>30542.11</v>
      </c>
    </row>
    <row r="294" spans="1:16" s="219" customFormat="1" ht="35.1" customHeight="1" x14ac:dyDescent="0.2">
      <c r="A294" s="73">
        <f>+A293+1</f>
        <v>131</v>
      </c>
      <c r="B294" s="72" t="s">
        <v>277</v>
      </c>
      <c r="C294" s="73" t="s">
        <v>335</v>
      </c>
      <c r="D294" s="88" t="s">
        <v>371</v>
      </c>
      <c r="E294" s="72" t="s">
        <v>97</v>
      </c>
      <c r="F294" s="216">
        <v>32000</v>
      </c>
      <c r="G294" s="216">
        <f>F294*2.87%</f>
        <v>918.4</v>
      </c>
      <c r="H294" s="216">
        <f>+F294*3.04%</f>
        <v>972.8</v>
      </c>
      <c r="I294" s="216"/>
      <c r="J294" s="215">
        <f>+G294+H294+I294</f>
        <v>1891.1999999999998</v>
      </c>
      <c r="K294" s="215">
        <f>+F294-J294</f>
        <v>30108.799999999999</v>
      </c>
      <c r="L294" s="69">
        <f t="shared" si="123"/>
        <v>0</v>
      </c>
      <c r="M294" s="221">
        <v>65</v>
      </c>
      <c r="N294" s="215">
        <f t="shared" si="118"/>
        <v>1956.1999999999998</v>
      </c>
      <c r="O294" s="221">
        <f t="shared" si="119"/>
        <v>30043.8</v>
      </c>
    </row>
    <row r="295" spans="1:16" s="219" customFormat="1" ht="35.1" customHeight="1" x14ac:dyDescent="0.2">
      <c r="A295" s="73">
        <f>+A294+1</f>
        <v>132</v>
      </c>
      <c r="B295" s="72" t="s">
        <v>522</v>
      </c>
      <c r="C295" s="73" t="s">
        <v>335</v>
      </c>
      <c r="D295" s="88" t="s">
        <v>109</v>
      </c>
      <c r="E295" s="72" t="s">
        <v>191</v>
      </c>
      <c r="F295" s="216">
        <v>30000</v>
      </c>
      <c r="G295" s="216">
        <f t="shared" ref="G295:G303" si="128">F295*2.87%</f>
        <v>861</v>
      </c>
      <c r="H295" s="216">
        <f t="shared" si="121"/>
        <v>912</v>
      </c>
      <c r="I295" s="216"/>
      <c r="J295" s="215">
        <f t="shared" si="125"/>
        <v>1773</v>
      </c>
      <c r="K295" s="215">
        <f t="shared" si="122"/>
        <v>28227</v>
      </c>
      <c r="L295" s="69">
        <f t="shared" si="123"/>
        <v>0</v>
      </c>
      <c r="M295" s="221">
        <v>5555.72</v>
      </c>
      <c r="N295" s="215">
        <f t="shared" si="118"/>
        <v>7328.72</v>
      </c>
      <c r="O295" s="221">
        <f t="shared" si="119"/>
        <v>22671.279999999999</v>
      </c>
    </row>
    <row r="296" spans="1:16" s="219" customFormat="1" ht="35.1" customHeight="1" x14ac:dyDescent="0.2">
      <c r="A296" s="73">
        <f>+A295+1</f>
        <v>133</v>
      </c>
      <c r="B296" s="72" t="s">
        <v>523</v>
      </c>
      <c r="C296" s="73" t="s">
        <v>335</v>
      </c>
      <c r="D296" s="88" t="s">
        <v>109</v>
      </c>
      <c r="E296" s="72" t="s">
        <v>191</v>
      </c>
      <c r="F296" s="216">
        <v>36000</v>
      </c>
      <c r="G296" s="216">
        <f t="shared" si="128"/>
        <v>1033.2</v>
      </c>
      <c r="H296" s="216">
        <f t="shared" si="121"/>
        <v>1094.4000000000001</v>
      </c>
      <c r="I296" s="216"/>
      <c r="J296" s="215">
        <f t="shared" si="125"/>
        <v>2127.6000000000004</v>
      </c>
      <c r="K296" s="215">
        <f t="shared" si="122"/>
        <v>33872.400000000001</v>
      </c>
      <c r="L296" s="69">
        <f t="shared" si="123"/>
        <v>0</v>
      </c>
      <c r="M296" s="221">
        <v>4352.08</v>
      </c>
      <c r="N296" s="215">
        <f t="shared" si="118"/>
        <v>6479.6799999999994</v>
      </c>
      <c r="O296" s="221">
        <f t="shared" si="119"/>
        <v>29520.32</v>
      </c>
    </row>
    <row r="297" spans="1:16" s="219" customFormat="1" ht="35.1" customHeight="1" x14ac:dyDescent="0.2">
      <c r="A297" s="73">
        <f t="shared" si="124"/>
        <v>134</v>
      </c>
      <c r="B297" s="259" t="s">
        <v>488</v>
      </c>
      <c r="C297" s="73" t="s">
        <v>335</v>
      </c>
      <c r="D297" s="72" t="s">
        <v>109</v>
      </c>
      <c r="E297" s="72" t="s">
        <v>191</v>
      </c>
      <c r="F297" s="216">
        <v>36000</v>
      </c>
      <c r="G297" s="216">
        <f t="shared" si="128"/>
        <v>1033.2</v>
      </c>
      <c r="H297" s="216">
        <f>+F297*3.04%</f>
        <v>1094.4000000000001</v>
      </c>
      <c r="I297" s="216"/>
      <c r="J297" s="215">
        <f>+G297+H297+I297</f>
        <v>2127.6000000000004</v>
      </c>
      <c r="K297" s="215">
        <f t="shared" si="122"/>
        <v>33872.400000000001</v>
      </c>
      <c r="L297" s="69">
        <f t="shared" si="123"/>
        <v>0</v>
      </c>
      <c r="M297" s="221">
        <v>1290.29</v>
      </c>
      <c r="N297" s="215">
        <f t="shared" si="118"/>
        <v>3417.8900000000003</v>
      </c>
      <c r="O297" s="221">
        <f t="shared" si="119"/>
        <v>32582.11</v>
      </c>
    </row>
    <row r="298" spans="1:16" s="219" customFormat="1" ht="35.1" customHeight="1" x14ac:dyDescent="0.2">
      <c r="A298" s="73">
        <f t="shared" ref="A298:A303" si="129">+A297+1</f>
        <v>135</v>
      </c>
      <c r="B298" s="259" t="s">
        <v>553</v>
      </c>
      <c r="C298" s="73" t="s">
        <v>335</v>
      </c>
      <c r="D298" s="72" t="s">
        <v>109</v>
      </c>
      <c r="E298" s="72" t="s">
        <v>191</v>
      </c>
      <c r="F298" s="216">
        <v>30000</v>
      </c>
      <c r="G298" s="216">
        <f t="shared" si="128"/>
        <v>861</v>
      </c>
      <c r="H298" s="216">
        <f>+F298*3.04%</f>
        <v>912</v>
      </c>
      <c r="I298" s="216"/>
      <c r="J298" s="215">
        <f>+G298+H298+I298</f>
        <v>1773</v>
      </c>
      <c r="K298" s="215">
        <f t="shared" si="122"/>
        <v>28227</v>
      </c>
      <c r="L298" s="69">
        <f t="shared" si="123"/>
        <v>0</v>
      </c>
      <c r="M298" s="221">
        <v>2703.67</v>
      </c>
      <c r="N298" s="215">
        <f t="shared" si="118"/>
        <v>4476.67</v>
      </c>
      <c r="O298" s="221">
        <f t="shared" si="119"/>
        <v>25523.33</v>
      </c>
    </row>
    <row r="299" spans="1:16" s="219" customFormat="1" ht="35.1" customHeight="1" x14ac:dyDescent="0.2">
      <c r="A299" s="300">
        <f t="shared" si="129"/>
        <v>136</v>
      </c>
      <c r="B299" s="72" t="s">
        <v>520</v>
      </c>
      <c r="C299" s="73" t="s">
        <v>335</v>
      </c>
      <c r="D299" s="72" t="s">
        <v>109</v>
      </c>
      <c r="E299" s="72" t="s">
        <v>191</v>
      </c>
      <c r="F299" s="216">
        <v>36000</v>
      </c>
      <c r="G299" s="216">
        <f t="shared" si="128"/>
        <v>1033.2</v>
      </c>
      <c r="H299" s="216">
        <f t="shared" ref="H299:H303" si="130">+F299*3.04%</f>
        <v>1094.4000000000001</v>
      </c>
      <c r="I299" s="216"/>
      <c r="J299" s="215">
        <f t="shared" ref="J299:J303" si="131">+G299+H299+I299</f>
        <v>2127.6000000000004</v>
      </c>
      <c r="K299" s="215">
        <f t="shared" si="122"/>
        <v>33872.400000000001</v>
      </c>
      <c r="L299" s="69">
        <f t="shared" si="123"/>
        <v>0</v>
      </c>
      <c r="M299" s="221">
        <v>225</v>
      </c>
      <c r="N299" s="215">
        <f t="shared" si="118"/>
        <v>2352.6000000000004</v>
      </c>
      <c r="O299" s="217">
        <f t="shared" si="119"/>
        <v>33647.4</v>
      </c>
    </row>
    <row r="300" spans="1:16" s="218" customFormat="1" ht="35.1" customHeight="1" x14ac:dyDescent="0.2">
      <c r="A300" s="300">
        <f t="shared" si="129"/>
        <v>137</v>
      </c>
      <c r="B300" s="72" t="s">
        <v>578</v>
      </c>
      <c r="C300" s="73" t="s">
        <v>335</v>
      </c>
      <c r="D300" s="72" t="s">
        <v>109</v>
      </c>
      <c r="E300" s="72" t="s">
        <v>191</v>
      </c>
      <c r="F300" s="216">
        <v>30000</v>
      </c>
      <c r="G300" s="216">
        <f t="shared" si="128"/>
        <v>861</v>
      </c>
      <c r="H300" s="216">
        <f t="shared" si="130"/>
        <v>912</v>
      </c>
      <c r="I300" s="216"/>
      <c r="J300" s="215">
        <f t="shared" si="131"/>
        <v>1773</v>
      </c>
      <c r="K300" s="215">
        <f t="shared" si="122"/>
        <v>28227</v>
      </c>
      <c r="L300" s="69">
        <f t="shared" si="123"/>
        <v>0</v>
      </c>
      <c r="M300" s="221">
        <v>2880.08</v>
      </c>
      <c r="N300" s="215">
        <f t="shared" si="118"/>
        <v>4653.08</v>
      </c>
      <c r="O300" s="217">
        <f t="shared" si="119"/>
        <v>25346.92</v>
      </c>
    </row>
    <row r="301" spans="1:16" s="218" customFormat="1" ht="35.1" customHeight="1" x14ac:dyDescent="0.2">
      <c r="A301" s="300">
        <f t="shared" si="129"/>
        <v>138</v>
      </c>
      <c r="B301" s="72" t="s">
        <v>595</v>
      </c>
      <c r="C301" s="73" t="s">
        <v>335</v>
      </c>
      <c r="D301" s="72" t="s">
        <v>109</v>
      </c>
      <c r="E301" s="72" t="s">
        <v>191</v>
      </c>
      <c r="F301" s="216">
        <v>30000</v>
      </c>
      <c r="G301" s="216">
        <f t="shared" si="128"/>
        <v>861</v>
      </c>
      <c r="H301" s="216">
        <f t="shared" si="130"/>
        <v>912</v>
      </c>
      <c r="I301" s="216"/>
      <c r="J301" s="215">
        <f t="shared" si="131"/>
        <v>1773</v>
      </c>
      <c r="K301" s="215">
        <f t="shared" si="122"/>
        <v>28227</v>
      </c>
      <c r="L301" s="69">
        <f t="shared" si="123"/>
        <v>0</v>
      </c>
      <c r="M301" s="221">
        <v>25</v>
      </c>
      <c r="N301" s="215">
        <f t="shared" si="118"/>
        <v>1798</v>
      </c>
      <c r="O301" s="217">
        <f t="shared" si="119"/>
        <v>28202</v>
      </c>
    </row>
    <row r="302" spans="1:16" s="218" customFormat="1" ht="35.1" customHeight="1" x14ac:dyDescent="0.2">
      <c r="A302" s="300">
        <f t="shared" si="129"/>
        <v>139</v>
      </c>
      <c r="B302" s="72" t="s">
        <v>596</v>
      </c>
      <c r="C302" s="73" t="s">
        <v>335</v>
      </c>
      <c r="D302" s="72" t="s">
        <v>109</v>
      </c>
      <c r="E302" s="72" t="s">
        <v>191</v>
      </c>
      <c r="F302" s="216">
        <v>30000</v>
      </c>
      <c r="G302" s="216">
        <f t="shared" si="128"/>
        <v>861</v>
      </c>
      <c r="H302" s="216">
        <f t="shared" si="130"/>
        <v>912</v>
      </c>
      <c r="I302" s="216"/>
      <c r="J302" s="215">
        <f t="shared" si="131"/>
        <v>1773</v>
      </c>
      <c r="K302" s="215">
        <f t="shared" si="122"/>
        <v>28227</v>
      </c>
      <c r="L302" s="69">
        <f t="shared" si="123"/>
        <v>0</v>
      </c>
      <c r="M302" s="221">
        <v>2590.29</v>
      </c>
      <c r="N302" s="215">
        <f t="shared" si="118"/>
        <v>4363.29</v>
      </c>
      <c r="O302" s="217">
        <f t="shared" si="119"/>
        <v>25636.71</v>
      </c>
    </row>
    <row r="303" spans="1:16" s="218" customFormat="1" ht="35.1" customHeight="1" x14ac:dyDescent="0.2">
      <c r="A303" s="300">
        <f t="shared" si="129"/>
        <v>140</v>
      </c>
      <c r="B303" s="72" t="s">
        <v>607</v>
      </c>
      <c r="C303" s="73" t="s">
        <v>335</v>
      </c>
      <c r="D303" s="72" t="s">
        <v>109</v>
      </c>
      <c r="E303" s="72" t="s">
        <v>191</v>
      </c>
      <c r="F303" s="216">
        <v>30000</v>
      </c>
      <c r="G303" s="216">
        <f t="shared" si="128"/>
        <v>861</v>
      </c>
      <c r="H303" s="216">
        <f t="shared" si="130"/>
        <v>912</v>
      </c>
      <c r="I303" s="216"/>
      <c r="J303" s="215">
        <f t="shared" si="131"/>
        <v>1773</v>
      </c>
      <c r="K303" s="215">
        <f t="shared" si="122"/>
        <v>28227</v>
      </c>
      <c r="L303" s="69">
        <f t="shared" si="123"/>
        <v>0</v>
      </c>
      <c r="M303" s="221">
        <v>590.29</v>
      </c>
      <c r="N303" s="215">
        <f t="shared" si="118"/>
        <v>2363.29</v>
      </c>
      <c r="O303" s="217">
        <f t="shared" si="119"/>
        <v>27636.71</v>
      </c>
    </row>
    <row r="304" spans="1:16" s="218" customFormat="1" ht="35.1" customHeight="1" x14ac:dyDescent="0.2">
      <c r="A304" s="235">
        <f>+A303+1</f>
        <v>141</v>
      </c>
      <c r="B304" s="72" t="s">
        <v>175</v>
      </c>
      <c r="C304" s="235" t="s">
        <v>335</v>
      </c>
      <c r="D304" s="238" t="s">
        <v>176</v>
      </c>
      <c r="E304" s="238" t="s">
        <v>191</v>
      </c>
      <c r="F304" s="68">
        <v>30000</v>
      </c>
      <c r="G304" s="68">
        <f>F304*2.87%</f>
        <v>861</v>
      </c>
      <c r="H304" s="68">
        <f>+F304*3.04%</f>
        <v>912</v>
      </c>
      <c r="I304" s="68">
        <v>1919.78</v>
      </c>
      <c r="J304" s="69">
        <f>+G304+H304+I304</f>
        <v>3692.7799999999997</v>
      </c>
      <c r="K304" s="69">
        <f>+F304-J304</f>
        <v>26307.22</v>
      </c>
      <c r="L304" s="69">
        <f t="shared" si="123"/>
        <v>0</v>
      </c>
      <c r="M304" s="221">
        <v>3012.41</v>
      </c>
      <c r="N304" s="215">
        <f t="shared" si="118"/>
        <v>6705.19</v>
      </c>
      <c r="O304" s="234">
        <f t="shared" si="119"/>
        <v>23294.81</v>
      </c>
    </row>
    <row r="305" spans="1:16" s="148" customFormat="1" ht="35.1" customHeight="1" x14ac:dyDescent="0.2">
      <c r="A305" s="223" t="s">
        <v>99</v>
      </c>
      <c r="B305" s="224"/>
      <c r="C305" s="224"/>
      <c r="D305" s="224"/>
      <c r="E305" s="239"/>
      <c r="F305" s="225">
        <f>SUM(F281:F304)</f>
        <v>866000</v>
      </c>
      <c r="G305" s="225">
        <f t="shared" ref="G305:O305" si="132">SUM(G281:G304)</f>
        <v>24854.200000000004</v>
      </c>
      <c r="H305" s="225">
        <f t="shared" si="132"/>
        <v>26326.400000000001</v>
      </c>
      <c r="I305" s="225">
        <f t="shared" si="132"/>
        <v>5759.34</v>
      </c>
      <c r="J305" s="225">
        <f t="shared" si="132"/>
        <v>56939.939999999995</v>
      </c>
      <c r="K305" s="225">
        <f t="shared" si="132"/>
        <v>809060.06</v>
      </c>
      <c r="L305" s="225">
        <f t="shared" si="132"/>
        <v>6696.06</v>
      </c>
      <c r="M305" s="225">
        <f t="shared" si="132"/>
        <v>49554.11</v>
      </c>
      <c r="N305" s="225">
        <f t="shared" si="132"/>
        <v>113190.10999999999</v>
      </c>
      <c r="O305" s="225">
        <f t="shared" si="132"/>
        <v>752809.8899999999</v>
      </c>
      <c r="P305" s="219"/>
    </row>
    <row r="306" spans="1:16" s="148" customFormat="1" ht="35.1" customHeight="1" thickBot="1" x14ac:dyDescent="0.25">
      <c r="A306" s="146"/>
      <c r="B306" s="146"/>
      <c r="C306" s="146"/>
      <c r="D306" s="146"/>
      <c r="E306" s="146"/>
      <c r="F306" s="226"/>
      <c r="G306" s="226"/>
      <c r="H306" s="226"/>
      <c r="I306" s="226"/>
      <c r="J306" s="226"/>
      <c r="K306" s="226"/>
      <c r="L306" s="226"/>
      <c r="M306" s="226"/>
      <c r="N306" s="226"/>
      <c r="O306" s="226"/>
      <c r="P306" s="219"/>
    </row>
    <row r="307" spans="1:16" s="148" customFormat="1" ht="35.1" customHeight="1" thickBot="1" x14ac:dyDescent="0.25">
      <c r="A307" s="229" t="s">
        <v>352</v>
      </c>
      <c r="B307" s="230"/>
      <c r="C307" s="230"/>
      <c r="D307" s="230"/>
      <c r="E307" s="230"/>
      <c r="F307" s="230"/>
      <c r="G307" s="230"/>
      <c r="H307" s="230"/>
      <c r="I307" s="230"/>
      <c r="J307" s="230"/>
      <c r="K307" s="230"/>
      <c r="L307" s="230"/>
      <c r="M307" s="230"/>
      <c r="N307" s="230"/>
      <c r="O307" s="230"/>
      <c r="P307" s="219"/>
    </row>
    <row r="308" spans="1:16" s="148" customFormat="1" ht="35.1" customHeight="1" x14ac:dyDescent="0.2">
      <c r="A308" s="235">
        <f>+A304+1</f>
        <v>142</v>
      </c>
      <c r="B308" s="72" t="s">
        <v>320</v>
      </c>
      <c r="C308" s="73" t="s">
        <v>336</v>
      </c>
      <c r="D308" s="88" t="s">
        <v>188</v>
      </c>
      <c r="E308" s="238" t="s">
        <v>97</v>
      </c>
      <c r="F308" s="68">
        <v>95000</v>
      </c>
      <c r="G308" s="68">
        <f t="shared" ref="G308" si="133">F308*2.87%</f>
        <v>2726.5</v>
      </c>
      <c r="H308" s="68">
        <f t="shared" ref="H308" si="134">+F308*3.04%</f>
        <v>2888</v>
      </c>
      <c r="I308" s="216">
        <f>1919.78*2</f>
        <v>3839.56</v>
      </c>
      <c r="J308" s="69">
        <f>+G308+H308+I308</f>
        <v>9454.06</v>
      </c>
      <c r="K308" s="69">
        <f>+F308-J308</f>
        <v>85545.94</v>
      </c>
      <c r="L308" s="69">
        <f t="shared" ref="L308" si="135">+IF(K308*12&lt;=416220.01,0,IF(K308*12&lt;=624329.01,(((K308*12-416220.01)*0.15)/12),IF((K308*12&lt;=867123.01),(31216+0.2*(K308*12-624329.01))/12,((79776+0.25*(K308*12-867123.01))/12))))</f>
        <v>9969.4222916666677</v>
      </c>
      <c r="M308" s="69">
        <v>2090.29</v>
      </c>
      <c r="N308" s="215">
        <f>+M308+I308+H308+G308+L308</f>
        <v>21513.772291666668</v>
      </c>
      <c r="O308" s="234">
        <f>+F308-N308</f>
        <v>73486.227708333332</v>
      </c>
      <c r="P308" s="219"/>
    </row>
    <row r="309" spans="1:16" s="148" customFormat="1" ht="35.1" customHeight="1" x14ac:dyDescent="0.2">
      <c r="A309" s="223" t="s">
        <v>99</v>
      </c>
      <c r="B309" s="224"/>
      <c r="C309" s="224"/>
      <c r="D309" s="224"/>
      <c r="E309" s="239"/>
      <c r="F309" s="225">
        <f t="shared" ref="F309:L309" si="136">SUM(F308:F308)</f>
        <v>95000</v>
      </c>
      <c r="G309" s="225">
        <f t="shared" si="136"/>
        <v>2726.5</v>
      </c>
      <c r="H309" s="225">
        <f t="shared" si="136"/>
        <v>2888</v>
      </c>
      <c r="I309" s="225">
        <f t="shared" si="136"/>
        <v>3839.56</v>
      </c>
      <c r="J309" s="225">
        <f t="shared" si="136"/>
        <v>9454.06</v>
      </c>
      <c r="K309" s="225">
        <f t="shared" si="136"/>
        <v>85545.94</v>
      </c>
      <c r="L309" s="225">
        <f t="shared" si="136"/>
        <v>9969.4222916666677</v>
      </c>
      <c r="M309" s="225">
        <f>SUM(M308:M308)</f>
        <v>2090.29</v>
      </c>
      <c r="N309" s="225">
        <f>SUM(N308:N308)</f>
        <v>21513.772291666668</v>
      </c>
      <c r="O309" s="225">
        <f>SUM(O308:O308)</f>
        <v>73486.227708333332</v>
      </c>
      <c r="P309" s="219"/>
    </row>
    <row r="310" spans="1:16" s="219" customFormat="1" ht="35.1" customHeight="1" thickBot="1" x14ac:dyDescent="0.25">
      <c r="A310" s="146"/>
      <c r="B310" s="146"/>
      <c r="C310" s="146"/>
      <c r="D310" s="146"/>
      <c r="E310" s="146"/>
      <c r="F310" s="218"/>
      <c r="G310" s="218"/>
      <c r="H310" s="218"/>
      <c r="I310" s="218"/>
      <c r="J310" s="218"/>
      <c r="K310" s="218"/>
      <c r="L310" s="218"/>
      <c r="M310" s="218"/>
      <c r="N310" s="218"/>
      <c r="O310" s="218"/>
    </row>
    <row r="311" spans="1:16" s="219" customFormat="1" ht="35.1" customHeight="1" thickBot="1" x14ac:dyDescent="0.25">
      <c r="A311" s="229" t="s">
        <v>173</v>
      </c>
      <c r="B311" s="230"/>
      <c r="C311" s="230"/>
      <c r="D311" s="230"/>
      <c r="E311" s="230"/>
      <c r="F311" s="230"/>
      <c r="G311" s="230"/>
      <c r="H311" s="230"/>
      <c r="I311" s="230"/>
      <c r="J311" s="230"/>
      <c r="K311" s="230"/>
      <c r="L311" s="230"/>
      <c r="M311" s="230"/>
      <c r="N311" s="230"/>
      <c r="O311" s="230"/>
    </row>
    <row r="312" spans="1:16" s="274" customFormat="1" ht="35.1" customHeight="1" x14ac:dyDescent="0.2">
      <c r="A312" s="235">
        <f>+A308+1</f>
        <v>143</v>
      </c>
      <c r="B312" s="72" t="s">
        <v>63</v>
      </c>
      <c r="C312" s="73" t="s">
        <v>335</v>
      </c>
      <c r="D312" s="72" t="s">
        <v>82</v>
      </c>
      <c r="E312" s="72" t="s">
        <v>96</v>
      </c>
      <c r="F312" s="216">
        <v>60000</v>
      </c>
      <c r="G312" s="68">
        <f>F312*2.87%</f>
        <v>1722</v>
      </c>
      <c r="H312" s="68">
        <f>+F312*3.04%</f>
        <v>1824</v>
      </c>
      <c r="I312" s="68">
        <v>1919.78</v>
      </c>
      <c r="J312" s="69">
        <f>+G312+H312+I312</f>
        <v>5465.78</v>
      </c>
      <c r="K312" s="69">
        <f>+F312-J312</f>
        <v>54534.22</v>
      </c>
      <c r="L312" s="69">
        <f t="shared" ref="L312" si="137">+IF(K312*12&lt;=416220.01,0,IF(K312*12&lt;=624329.01,(((K312*12-416220.01)*0.15)/12),IF((K312*12&lt;=867123.01),(31216+0.2*(K312*12-624329.01))/12,((79776+0.25*(K312*12-867123.01))/12))))</f>
        <v>3102.6938333333333</v>
      </c>
      <c r="M312" s="215">
        <v>5090.29</v>
      </c>
      <c r="N312" s="215">
        <f>+M312+I312+H312+G312+L312</f>
        <v>13658.763833333333</v>
      </c>
      <c r="O312" s="234">
        <f>+F312-N312</f>
        <v>46341.236166666669</v>
      </c>
    </row>
    <row r="313" spans="1:16" s="219" customFormat="1" ht="35.1" customHeight="1" x14ac:dyDescent="0.2">
      <c r="A313" s="235">
        <f>+A312+1</f>
        <v>144</v>
      </c>
      <c r="B313" s="72" t="s">
        <v>278</v>
      </c>
      <c r="C313" s="73" t="s">
        <v>335</v>
      </c>
      <c r="D313" s="72" t="s">
        <v>13</v>
      </c>
      <c r="E313" s="72" t="s">
        <v>97</v>
      </c>
      <c r="F313" s="216">
        <v>40000</v>
      </c>
      <c r="G313" s="216">
        <f>F313*2.87%</f>
        <v>1148</v>
      </c>
      <c r="H313" s="68">
        <f>+F313*3.04%</f>
        <v>1216</v>
      </c>
      <c r="I313" s="68">
        <f>1919.78*2</f>
        <v>3839.56</v>
      </c>
      <c r="J313" s="69">
        <f>+G313+H313+I313</f>
        <v>6203.5599999999995</v>
      </c>
      <c r="K313" s="69">
        <f>+F313-J313</f>
        <v>33796.44</v>
      </c>
      <c r="L313" s="69">
        <v>0</v>
      </c>
      <c r="M313" s="215">
        <v>13268.9</v>
      </c>
      <c r="N313" s="215">
        <f>+M313+I313+H313+G313+L313</f>
        <v>19472.46</v>
      </c>
      <c r="O313" s="234">
        <f>+F313-N313</f>
        <v>20527.54</v>
      </c>
    </row>
    <row r="314" spans="1:16" s="219" customFormat="1" ht="35.1" customHeight="1" x14ac:dyDescent="0.2">
      <c r="A314" s="223" t="s">
        <v>99</v>
      </c>
      <c r="B314" s="224"/>
      <c r="C314" s="224"/>
      <c r="D314" s="224"/>
      <c r="E314" s="239"/>
      <c r="F314" s="225">
        <f>SUM(F312:F313)</f>
        <v>100000</v>
      </c>
      <c r="G314" s="225">
        <f t="shared" ref="G314:O314" si="138">SUM(G312:G313)</f>
        <v>2870</v>
      </c>
      <c r="H314" s="225">
        <f t="shared" si="138"/>
        <v>3040</v>
      </c>
      <c r="I314" s="225">
        <f t="shared" si="138"/>
        <v>5759.34</v>
      </c>
      <c r="J314" s="225">
        <f t="shared" si="138"/>
        <v>11669.34</v>
      </c>
      <c r="K314" s="225">
        <f t="shared" si="138"/>
        <v>88330.66</v>
      </c>
      <c r="L314" s="225">
        <f t="shared" si="138"/>
        <v>3102.6938333333333</v>
      </c>
      <c r="M314" s="225">
        <f t="shared" si="138"/>
        <v>18359.189999999999</v>
      </c>
      <c r="N314" s="225">
        <f t="shared" si="138"/>
        <v>33131.22383333333</v>
      </c>
      <c r="O314" s="225">
        <f t="shared" si="138"/>
        <v>66868.776166666677</v>
      </c>
    </row>
    <row r="315" spans="1:16" s="219" customFormat="1" ht="35.1" customHeight="1" thickBot="1" x14ac:dyDescent="0.25">
      <c r="A315" s="146"/>
      <c r="B315" s="146"/>
      <c r="C315" s="146"/>
      <c r="D315" s="146"/>
      <c r="E315" s="146"/>
      <c r="F315" s="226"/>
      <c r="G315" s="226"/>
      <c r="H315" s="226"/>
      <c r="I315" s="226"/>
      <c r="J315" s="226"/>
      <c r="K315" s="226"/>
      <c r="L315" s="226"/>
      <c r="M315" s="226"/>
      <c r="N315" s="226"/>
      <c r="O315" s="226"/>
    </row>
    <row r="316" spans="1:16" s="219" customFormat="1" ht="35.1" customHeight="1" thickBot="1" x14ac:dyDescent="0.25">
      <c r="A316" s="229" t="s">
        <v>174</v>
      </c>
      <c r="B316" s="230"/>
      <c r="C316" s="230"/>
      <c r="D316" s="230"/>
      <c r="E316" s="230"/>
      <c r="F316" s="230"/>
      <c r="G316" s="230"/>
      <c r="H316" s="230"/>
      <c r="I316" s="230"/>
      <c r="J316" s="230"/>
      <c r="K316" s="230"/>
      <c r="L316" s="230"/>
      <c r="M316" s="230"/>
      <c r="N316" s="230"/>
      <c r="O316" s="230"/>
    </row>
    <row r="317" spans="1:16" s="219" customFormat="1" ht="35.1" customHeight="1" x14ac:dyDescent="0.2">
      <c r="A317" s="73">
        <f>+A313+1</f>
        <v>145</v>
      </c>
      <c r="B317" s="72" t="s">
        <v>58</v>
      </c>
      <c r="C317" s="73" t="s">
        <v>336</v>
      </c>
      <c r="D317" s="88" t="s">
        <v>567</v>
      </c>
      <c r="E317" s="72" t="s">
        <v>96</v>
      </c>
      <c r="F317" s="216">
        <v>110000</v>
      </c>
      <c r="G317" s="216">
        <f>F317*2.87%</f>
        <v>3157</v>
      </c>
      <c r="H317" s="68">
        <f>+F317*3.04%</f>
        <v>3344</v>
      </c>
      <c r="I317" s="68"/>
      <c r="J317" s="69">
        <f>+G317+H317+I317</f>
        <v>6501</v>
      </c>
      <c r="K317" s="69">
        <f>+F317-J317</f>
        <v>103499</v>
      </c>
      <c r="L317" s="69">
        <f t="shared" ref="L317" si="139">+IF(K317*12&lt;=416220.01,0,IF(K317*12&lt;=624329.01,(((K317*12-416220.01)*0.15)/12),IF((K317*12&lt;=867123.01),(31216+0.2*(K317*12-624329.01))/12,((79776+0.25*(K317*12-867123.01))/12))))</f>
        <v>14457.687291666667</v>
      </c>
      <c r="M317" s="69">
        <v>25</v>
      </c>
      <c r="N317" s="215">
        <f>+M317+I317+H317+G317+L317</f>
        <v>20983.687291666669</v>
      </c>
      <c r="O317" s="234">
        <f>+F317-N317</f>
        <v>89016.312708333338</v>
      </c>
    </row>
    <row r="318" spans="1:16" s="219" customFormat="1" ht="35.1" customHeight="1" x14ac:dyDescent="0.2">
      <c r="A318" s="223" t="s">
        <v>99</v>
      </c>
      <c r="B318" s="224"/>
      <c r="C318" s="224"/>
      <c r="D318" s="224"/>
      <c r="E318" s="239"/>
      <c r="F318" s="225">
        <f>SUM(F317:F317)</f>
        <v>110000</v>
      </c>
      <c r="G318" s="225">
        <f t="shared" ref="G318:O318" si="140">SUM(G317:G317)</f>
        <v>3157</v>
      </c>
      <c r="H318" s="225">
        <f t="shared" si="140"/>
        <v>3344</v>
      </c>
      <c r="I318" s="225">
        <f t="shared" si="140"/>
        <v>0</v>
      </c>
      <c r="J318" s="225">
        <f t="shared" si="140"/>
        <v>6501</v>
      </c>
      <c r="K318" s="225">
        <f t="shared" si="140"/>
        <v>103499</v>
      </c>
      <c r="L318" s="225">
        <f t="shared" si="140"/>
        <v>14457.687291666667</v>
      </c>
      <c r="M318" s="225">
        <f t="shared" si="140"/>
        <v>25</v>
      </c>
      <c r="N318" s="225">
        <f t="shared" si="140"/>
        <v>20983.687291666669</v>
      </c>
      <c r="O318" s="225">
        <f t="shared" si="140"/>
        <v>89016.312708333338</v>
      </c>
    </row>
    <row r="319" spans="1:16" s="218" customFormat="1" ht="35.1" customHeight="1" thickBot="1" x14ac:dyDescent="0.25">
      <c r="A319" s="146"/>
      <c r="B319" s="146"/>
      <c r="C319" s="146"/>
      <c r="D319" s="146"/>
      <c r="E319" s="146"/>
      <c r="F319" s="226"/>
      <c r="G319" s="226"/>
      <c r="H319" s="226"/>
      <c r="I319" s="226"/>
      <c r="J319" s="226"/>
      <c r="K319" s="226"/>
      <c r="L319" s="226"/>
      <c r="M319" s="226"/>
      <c r="N319" s="226"/>
      <c r="O319" s="226"/>
    </row>
    <row r="320" spans="1:16" s="219" customFormat="1" ht="35.1" customHeight="1" thickBot="1" x14ac:dyDescent="0.25">
      <c r="A320" s="229" t="s">
        <v>279</v>
      </c>
      <c r="B320" s="230"/>
      <c r="C320" s="230"/>
      <c r="D320" s="230"/>
      <c r="E320" s="230"/>
      <c r="F320" s="230"/>
      <c r="G320" s="230"/>
      <c r="H320" s="230"/>
      <c r="I320" s="230"/>
      <c r="J320" s="230"/>
      <c r="K320" s="230"/>
      <c r="L320" s="230"/>
      <c r="M320" s="230"/>
      <c r="N320" s="230"/>
      <c r="O320" s="230"/>
    </row>
    <row r="321" spans="1:16" s="218" customFormat="1" ht="35.1" customHeight="1" x14ac:dyDescent="0.2">
      <c r="A321" s="235">
        <f>+A317+1</f>
        <v>146</v>
      </c>
      <c r="B321" s="238" t="s">
        <v>281</v>
      </c>
      <c r="C321" s="235" t="s">
        <v>335</v>
      </c>
      <c r="D321" s="238" t="s">
        <v>280</v>
      </c>
      <c r="E321" s="238" t="s">
        <v>191</v>
      </c>
      <c r="F321" s="68">
        <v>45000</v>
      </c>
      <c r="G321" s="68">
        <f t="shared" ref="G321" si="141">F321*2.87%</f>
        <v>1291.5</v>
      </c>
      <c r="H321" s="68">
        <f t="shared" ref="H321" si="142">+F321*3.04%</f>
        <v>1368</v>
      </c>
      <c r="I321" s="68"/>
      <c r="J321" s="69">
        <f>+G321+H321+I321</f>
        <v>2659.5</v>
      </c>
      <c r="K321" s="69">
        <f>+F321-J321</f>
        <v>42340.5</v>
      </c>
      <c r="L321" s="69">
        <v>0</v>
      </c>
      <c r="M321" s="221">
        <v>1290.29</v>
      </c>
      <c r="N321" s="215">
        <f>+M321+I321+H321+G321+L321</f>
        <v>3949.79</v>
      </c>
      <c r="O321" s="234">
        <f>+F321-N321</f>
        <v>41050.21</v>
      </c>
    </row>
    <row r="322" spans="1:16" s="274" customFormat="1" ht="35.1" customHeight="1" x14ac:dyDescent="0.2">
      <c r="A322" s="235">
        <f>+A321+1</f>
        <v>147</v>
      </c>
      <c r="B322" s="238" t="s">
        <v>338</v>
      </c>
      <c r="C322" s="235" t="s">
        <v>335</v>
      </c>
      <c r="D322" s="272" t="s">
        <v>280</v>
      </c>
      <c r="E322" s="238" t="s">
        <v>191</v>
      </c>
      <c r="F322" s="68">
        <v>45000</v>
      </c>
      <c r="G322" s="68">
        <f>F322*2.87%</f>
        <v>1291.5</v>
      </c>
      <c r="H322" s="68">
        <f>+F322*3.04%</f>
        <v>1368</v>
      </c>
      <c r="I322" s="68"/>
      <c r="J322" s="69">
        <f>+G322+H322+I322</f>
        <v>2659.5</v>
      </c>
      <c r="K322" s="69">
        <f t="shared" ref="K322:K323" si="143">+F322-J322</f>
        <v>42340.5</v>
      </c>
      <c r="L322" s="69">
        <v>1148.32</v>
      </c>
      <c r="M322" s="221">
        <v>225</v>
      </c>
      <c r="N322" s="215">
        <f>+M322+I322+H322+G322+L322</f>
        <v>4032.8199999999997</v>
      </c>
      <c r="O322" s="84">
        <f>+F322-N322</f>
        <v>40967.18</v>
      </c>
    </row>
    <row r="323" spans="1:16" s="219" customFormat="1" ht="35.1" customHeight="1" x14ac:dyDescent="0.2">
      <c r="A323" s="235">
        <f>+A322+1</f>
        <v>148</v>
      </c>
      <c r="B323" s="238" t="s">
        <v>507</v>
      </c>
      <c r="C323" s="235" t="s">
        <v>335</v>
      </c>
      <c r="D323" s="238" t="s">
        <v>280</v>
      </c>
      <c r="E323" s="238" t="s">
        <v>191</v>
      </c>
      <c r="F323" s="68">
        <v>38000</v>
      </c>
      <c r="G323" s="68">
        <f t="shared" ref="G323" si="144">F323*2.87%</f>
        <v>1090.5999999999999</v>
      </c>
      <c r="H323" s="68">
        <f t="shared" ref="H323" si="145">+F323*3.04%</f>
        <v>1155.2</v>
      </c>
      <c r="I323" s="68"/>
      <c r="J323" s="69">
        <f>+G323+H323+I323</f>
        <v>2245.8000000000002</v>
      </c>
      <c r="K323" s="69">
        <f t="shared" si="143"/>
        <v>35754.199999999997</v>
      </c>
      <c r="L323" s="69">
        <v>0</v>
      </c>
      <c r="M323" s="221">
        <v>225</v>
      </c>
      <c r="N323" s="215">
        <f>+M323+I323+H323+G323+L323</f>
        <v>2470.8000000000002</v>
      </c>
      <c r="O323" s="234">
        <f>+F323-N323</f>
        <v>35529.199999999997</v>
      </c>
    </row>
    <row r="324" spans="1:16" s="219" customFormat="1" ht="35.1" customHeight="1" x14ac:dyDescent="0.2">
      <c r="A324" s="223" t="s">
        <v>99</v>
      </c>
      <c r="B324" s="224"/>
      <c r="C324" s="224"/>
      <c r="D324" s="224"/>
      <c r="E324" s="239"/>
      <c r="F324" s="225">
        <f t="shared" ref="F324:O324" si="146">SUM(F321:F323)</f>
        <v>128000</v>
      </c>
      <c r="G324" s="225">
        <f t="shared" si="146"/>
        <v>3673.6</v>
      </c>
      <c r="H324" s="225">
        <f t="shared" si="146"/>
        <v>3891.2</v>
      </c>
      <c r="I324" s="225">
        <f t="shared" si="146"/>
        <v>0</v>
      </c>
      <c r="J324" s="225">
        <f t="shared" si="146"/>
        <v>7564.8</v>
      </c>
      <c r="K324" s="225">
        <f t="shared" si="146"/>
        <v>120435.2</v>
      </c>
      <c r="L324" s="225">
        <f t="shared" si="146"/>
        <v>1148.32</v>
      </c>
      <c r="M324" s="225">
        <f t="shared" si="146"/>
        <v>1740.29</v>
      </c>
      <c r="N324" s="225">
        <f t="shared" si="146"/>
        <v>10453.41</v>
      </c>
      <c r="O324" s="225">
        <f t="shared" si="146"/>
        <v>117546.59</v>
      </c>
    </row>
    <row r="325" spans="1:16" s="149" customFormat="1" ht="35.1" customHeight="1" x14ac:dyDescent="0.2">
      <c r="A325" s="146"/>
      <c r="B325" s="146"/>
      <c r="C325" s="146"/>
      <c r="D325" s="146"/>
      <c r="E325" s="146"/>
      <c r="F325" s="226"/>
      <c r="G325" s="226"/>
      <c r="H325" s="226"/>
      <c r="I325" s="226"/>
      <c r="J325" s="226"/>
      <c r="K325" s="226"/>
      <c r="L325" s="226"/>
      <c r="M325" s="226"/>
      <c r="N325" s="226"/>
      <c r="O325" s="226"/>
      <c r="P325" s="218"/>
    </row>
    <row r="326" spans="1:16" s="219" customFormat="1" ht="35.1" customHeight="1" thickBot="1" x14ac:dyDescent="0.25">
      <c r="A326" s="146"/>
      <c r="B326" s="146"/>
      <c r="C326" s="146"/>
      <c r="D326" s="146"/>
      <c r="E326" s="146"/>
      <c r="F326" s="226"/>
      <c r="G326" s="226"/>
      <c r="H326" s="226"/>
      <c r="I326" s="226"/>
      <c r="J326" s="226"/>
      <c r="K326" s="226"/>
      <c r="L326" s="226"/>
      <c r="M326" s="226"/>
      <c r="N326" s="226"/>
      <c r="O326" s="226"/>
    </row>
    <row r="327" spans="1:16" s="149" customFormat="1" ht="35.1" customHeight="1" thickBot="1" x14ac:dyDescent="0.25">
      <c r="A327" s="229" t="s">
        <v>147</v>
      </c>
      <c r="B327" s="230"/>
      <c r="C327" s="230"/>
      <c r="D327" s="230"/>
      <c r="E327" s="230"/>
      <c r="F327" s="230"/>
      <c r="G327" s="230"/>
      <c r="H327" s="230"/>
      <c r="I327" s="230"/>
      <c r="J327" s="230"/>
      <c r="K327" s="230"/>
      <c r="L327" s="230"/>
      <c r="M327" s="230"/>
      <c r="N327" s="230"/>
      <c r="O327" s="230"/>
      <c r="P327" s="218"/>
    </row>
    <row r="328" spans="1:16" s="149" customFormat="1" ht="35.1" customHeight="1" x14ac:dyDescent="0.2">
      <c r="A328" s="213">
        <f>+A323+1</f>
        <v>149</v>
      </c>
      <c r="B328" s="214" t="s">
        <v>282</v>
      </c>
      <c r="C328" s="213" t="s">
        <v>336</v>
      </c>
      <c r="D328" s="222" t="s">
        <v>85</v>
      </c>
      <c r="E328" s="72" t="s">
        <v>97</v>
      </c>
      <c r="F328" s="215">
        <v>80000</v>
      </c>
      <c r="G328" s="215">
        <f>F328*2.87%</f>
        <v>2296</v>
      </c>
      <c r="H328" s="215">
        <f t="shared" ref="H328:H332" si="147">+F328*3.04%</f>
        <v>2432</v>
      </c>
      <c r="I328" s="215">
        <v>1919.78</v>
      </c>
      <c r="J328" s="215">
        <f>+G328+H328+I328</f>
        <v>6647.78</v>
      </c>
      <c r="K328" s="215">
        <f t="shared" ref="K328:K340" si="148">+F328-J328</f>
        <v>73352.22</v>
      </c>
      <c r="L328" s="69">
        <f t="shared" ref="L328" si="149">+IF(K328*12&lt;=416220.01,0,IF(K328*12&lt;=624329.01,(((K328*12-416220.01)*0.15)/12),IF((K328*12&lt;=867123.01),(31216+0.2*(K328*12-624329.01))/12,((79776+0.25*(K328*12-867123.01))/12))))</f>
        <v>6920.9922916666665</v>
      </c>
      <c r="M328" s="221">
        <v>9388.7099999999991</v>
      </c>
      <c r="N328" s="215">
        <f t="shared" ref="N328:N341" si="150">+M328+I328+H328+G328+L328</f>
        <v>22957.482291666667</v>
      </c>
      <c r="O328" s="221">
        <f t="shared" ref="O328:O341" si="151">+F328-N328</f>
        <v>57042.517708333333</v>
      </c>
      <c r="P328" s="218"/>
    </row>
    <row r="329" spans="1:16" s="149" customFormat="1" ht="35.1" customHeight="1" x14ac:dyDescent="0.2">
      <c r="A329" s="213">
        <f>+A328+1</f>
        <v>150</v>
      </c>
      <c r="B329" s="214" t="s">
        <v>5</v>
      </c>
      <c r="C329" s="213" t="s">
        <v>336</v>
      </c>
      <c r="D329" s="222" t="s">
        <v>285</v>
      </c>
      <c r="E329" s="72" t="s">
        <v>97</v>
      </c>
      <c r="F329" s="215">
        <v>47500</v>
      </c>
      <c r="G329" s="215">
        <f t="shared" ref="G329:G332" si="152">F329*2.87%</f>
        <v>1363.25</v>
      </c>
      <c r="H329" s="215">
        <f t="shared" si="147"/>
        <v>1444</v>
      </c>
      <c r="I329" s="215">
        <v>1919.78</v>
      </c>
      <c r="J329" s="215">
        <f t="shared" ref="J329:J332" si="153">+G329+H329+I329</f>
        <v>4727.03</v>
      </c>
      <c r="K329" s="215">
        <f t="shared" si="148"/>
        <v>42772.97</v>
      </c>
      <c r="L329" s="69">
        <v>0</v>
      </c>
      <c r="M329" s="221">
        <v>225</v>
      </c>
      <c r="N329" s="215">
        <f t="shared" si="150"/>
        <v>4952.03</v>
      </c>
      <c r="O329" s="221">
        <f t="shared" si="151"/>
        <v>42547.97</v>
      </c>
      <c r="P329" s="218"/>
    </row>
    <row r="330" spans="1:16" s="149" customFormat="1" ht="35.1" customHeight="1" x14ac:dyDescent="0.2">
      <c r="A330" s="213">
        <f t="shared" ref="A330:A334" si="154">+A329+1</f>
        <v>151</v>
      </c>
      <c r="B330" s="214" t="s">
        <v>29</v>
      </c>
      <c r="C330" s="213" t="s">
        <v>336</v>
      </c>
      <c r="D330" s="222" t="s">
        <v>285</v>
      </c>
      <c r="E330" s="72" t="s">
        <v>97</v>
      </c>
      <c r="F330" s="215">
        <v>47500</v>
      </c>
      <c r="G330" s="215">
        <f t="shared" si="152"/>
        <v>1363.25</v>
      </c>
      <c r="H330" s="215">
        <f t="shared" si="147"/>
        <v>1444</v>
      </c>
      <c r="I330" s="215">
        <v>0</v>
      </c>
      <c r="J330" s="215">
        <f t="shared" si="153"/>
        <v>2807.25</v>
      </c>
      <c r="K330" s="215">
        <f t="shared" si="148"/>
        <v>44692.75</v>
      </c>
      <c r="L330" s="69">
        <v>0</v>
      </c>
      <c r="M330" s="221">
        <v>1790.29</v>
      </c>
      <c r="N330" s="215">
        <f t="shared" si="150"/>
        <v>4597.54</v>
      </c>
      <c r="O330" s="221">
        <f t="shared" si="151"/>
        <v>42902.46</v>
      </c>
      <c r="P330" s="218"/>
    </row>
    <row r="331" spans="1:16" s="148" customFormat="1" ht="35.1" customHeight="1" x14ac:dyDescent="0.2">
      <c r="A331" s="213">
        <f t="shared" si="154"/>
        <v>152</v>
      </c>
      <c r="B331" s="214" t="s">
        <v>290</v>
      </c>
      <c r="C331" s="213" t="s">
        <v>336</v>
      </c>
      <c r="D331" s="222" t="s">
        <v>284</v>
      </c>
      <c r="E331" s="72" t="s">
        <v>97</v>
      </c>
      <c r="F331" s="215">
        <v>47500</v>
      </c>
      <c r="G331" s="215">
        <f t="shared" si="152"/>
        <v>1363.25</v>
      </c>
      <c r="H331" s="215">
        <f t="shared" si="147"/>
        <v>1444</v>
      </c>
      <c r="I331" s="215">
        <v>1919.78</v>
      </c>
      <c r="J331" s="215">
        <f>+G331+H331+I331</f>
        <v>4727.03</v>
      </c>
      <c r="K331" s="215">
        <f t="shared" si="148"/>
        <v>42772.97</v>
      </c>
      <c r="L331" s="69">
        <v>0</v>
      </c>
      <c r="M331" s="221">
        <v>4758.24</v>
      </c>
      <c r="N331" s="215">
        <f t="shared" si="150"/>
        <v>9485.27</v>
      </c>
      <c r="O331" s="221">
        <f t="shared" si="151"/>
        <v>38014.729999999996</v>
      </c>
      <c r="P331" s="219"/>
    </row>
    <row r="332" spans="1:16" s="219" customFormat="1" ht="35.1" customHeight="1" x14ac:dyDescent="0.2">
      <c r="A332" s="213">
        <f t="shared" si="154"/>
        <v>153</v>
      </c>
      <c r="B332" s="214" t="s">
        <v>286</v>
      </c>
      <c r="C332" s="213" t="s">
        <v>335</v>
      </c>
      <c r="D332" s="222" t="s">
        <v>284</v>
      </c>
      <c r="E332" s="72" t="s">
        <v>97</v>
      </c>
      <c r="F332" s="215">
        <v>47500</v>
      </c>
      <c r="G332" s="215">
        <f t="shared" si="152"/>
        <v>1363.25</v>
      </c>
      <c r="H332" s="215">
        <f t="shared" si="147"/>
        <v>1444</v>
      </c>
      <c r="I332" s="215"/>
      <c r="J332" s="215">
        <f t="shared" si="153"/>
        <v>2807.25</v>
      </c>
      <c r="K332" s="215">
        <f t="shared" si="148"/>
        <v>44692.75</v>
      </c>
      <c r="L332" s="69">
        <v>0</v>
      </c>
      <c r="M332" s="221">
        <v>14462.48</v>
      </c>
      <c r="N332" s="215">
        <f t="shared" si="150"/>
        <v>17269.73</v>
      </c>
      <c r="O332" s="221">
        <f t="shared" si="151"/>
        <v>30230.27</v>
      </c>
    </row>
    <row r="333" spans="1:16" s="219" customFormat="1" ht="35.1" customHeight="1" x14ac:dyDescent="0.2">
      <c r="A333" s="213">
        <f t="shared" si="154"/>
        <v>154</v>
      </c>
      <c r="B333" s="214" t="s">
        <v>288</v>
      </c>
      <c r="C333" s="213" t="s">
        <v>336</v>
      </c>
      <c r="D333" s="222" t="s">
        <v>284</v>
      </c>
      <c r="E333" s="72" t="s">
        <v>97</v>
      </c>
      <c r="F333" s="215">
        <v>47500</v>
      </c>
      <c r="G333" s="215">
        <f t="shared" ref="G333:G341" si="155">F333*2.87%</f>
        <v>1363.25</v>
      </c>
      <c r="H333" s="215">
        <f t="shared" ref="H333:H341" si="156">+F333*3.04%</f>
        <v>1444</v>
      </c>
      <c r="I333" s="215"/>
      <c r="J333" s="215">
        <f t="shared" ref="J333:J339" si="157">+G333+H333+I333</f>
        <v>2807.25</v>
      </c>
      <c r="K333" s="215">
        <f t="shared" si="148"/>
        <v>44692.75</v>
      </c>
      <c r="L333" s="69">
        <v>0</v>
      </c>
      <c r="M333" s="221">
        <v>3698.95</v>
      </c>
      <c r="N333" s="215">
        <f t="shared" si="150"/>
        <v>6506.2</v>
      </c>
      <c r="O333" s="221">
        <f t="shared" si="151"/>
        <v>40993.800000000003</v>
      </c>
    </row>
    <row r="334" spans="1:16" s="219" customFormat="1" ht="35.1" customHeight="1" x14ac:dyDescent="0.2">
      <c r="A334" s="213">
        <f t="shared" si="154"/>
        <v>155</v>
      </c>
      <c r="B334" s="214" t="s">
        <v>28</v>
      </c>
      <c r="C334" s="213" t="s">
        <v>336</v>
      </c>
      <c r="D334" s="222" t="s">
        <v>284</v>
      </c>
      <c r="E334" s="72" t="s">
        <v>97</v>
      </c>
      <c r="F334" s="215">
        <v>47500</v>
      </c>
      <c r="G334" s="215">
        <f t="shared" si="155"/>
        <v>1363.25</v>
      </c>
      <c r="H334" s="215">
        <f t="shared" si="156"/>
        <v>1444</v>
      </c>
      <c r="I334" s="215">
        <v>1919.78</v>
      </c>
      <c r="J334" s="215">
        <f t="shared" si="157"/>
        <v>4727.03</v>
      </c>
      <c r="K334" s="215">
        <f t="shared" si="148"/>
        <v>42772.97</v>
      </c>
      <c r="L334" s="69">
        <v>0</v>
      </c>
      <c r="M334" s="221">
        <v>12798.78</v>
      </c>
      <c r="N334" s="215">
        <f t="shared" si="150"/>
        <v>17525.810000000001</v>
      </c>
      <c r="O334" s="221">
        <f t="shared" si="151"/>
        <v>29974.19</v>
      </c>
    </row>
    <row r="335" spans="1:16" s="148" customFormat="1" ht="35.1" customHeight="1" x14ac:dyDescent="0.2">
      <c r="A335" s="213">
        <f>+A334+1</f>
        <v>156</v>
      </c>
      <c r="B335" s="214" t="s">
        <v>14</v>
      </c>
      <c r="C335" s="213" t="s">
        <v>336</v>
      </c>
      <c r="D335" s="222" t="s">
        <v>284</v>
      </c>
      <c r="E335" s="72" t="s">
        <v>96</v>
      </c>
      <c r="F335" s="215">
        <v>40000</v>
      </c>
      <c r="G335" s="215">
        <f>F335*2.87%</f>
        <v>1148</v>
      </c>
      <c r="H335" s="215">
        <f>+F335*3.04%</f>
        <v>1216</v>
      </c>
      <c r="I335" s="215">
        <v>1919.78</v>
      </c>
      <c r="J335" s="215">
        <f>+G335+H335+I335</f>
        <v>4283.78</v>
      </c>
      <c r="K335" s="215">
        <f>+F335-J335</f>
        <v>35716.22</v>
      </c>
      <c r="L335" s="69">
        <f t="shared" ref="L335:L341" si="158">+IF(K335*12&lt;=416220.01,0,IF(K335*12&lt;=624329.01,(((K335*12-416220.01)*0.15)/12),IF((K335*12&lt;=867123.01),(31216+0.2*(K335*12-624329.01))/12,((79776+0.25*(K335*12-867123.01))/12))))</f>
        <v>154.68287500000005</v>
      </c>
      <c r="M335" s="221">
        <v>15392.67</v>
      </c>
      <c r="N335" s="215">
        <f t="shared" si="150"/>
        <v>19831.132874999999</v>
      </c>
      <c r="O335" s="221">
        <f t="shared" si="151"/>
        <v>20168.867125000001</v>
      </c>
      <c r="P335" s="219"/>
    </row>
    <row r="336" spans="1:16" s="148" customFormat="1" ht="35.1" customHeight="1" x14ac:dyDescent="0.2">
      <c r="A336" s="213">
        <f>+A335+1</f>
        <v>157</v>
      </c>
      <c r="B336" s="214" t="s">
        <v>289</v>
      </c>
      <c r="C336" s="213" t="s">
        <v>336</v>
      </c>
      <c r="D336" s="222" t="s">
        <v>16</v>
      </c>
      <c r="E336" s="72" t="s">
        <v>97</v>
      </c>
      <c r="F336" s="215">
        <v>42500</v>
      </c>
      <c r="G336" s="215">
        <f>F336*2.87%</f>
        <v>1219.75</v>
      </c>
      <c r="H336" s="215">
        <f t="shared" ref="H336:H338" si="159">+F336*3.04%</f>
        <v>1292</v>
      </c>
      <c r="I336" s="215">
        <v>1919.78</v>
      </c>
      <c r="J336" s="215">
        <f>+G336+H336+I336</f>
        <v>4431.53</v>
      </c>
      <c r="K336" s="215">
        <f t="shared" si="148"/>
        <v>38068.47</v>
      </c>
      <c r="L336" s="69">
        <v>0</v>
      </c>
      <c r="M336" s="221">
        <v>345</v>
      </c>
      <c r="N336" s="215">
        <f t="shared" si="150"/>
        <v>4776.53</v>
      </c>
      <c r="O336" s="221">
        <f t="shared" si="151"/>
        <v>37723.47</v>
      </c>
      <c r="P336" s="219"/>
    </row>
    <row r="337" spans="1:16" s="219" customFormat="1" ht="35.1" customHeight="1" x14ac:dyDescent="0.2">
      <c r="A337" s="213">
        <f>+A336+1</f>
        <v>158</v>
      </c>
      <c r="B337" s="214" t="s">
        <v>292</v>
      </c>
      <c r="C337" s="213" t="s">
        <v>335</v>
      </c>
      <c r="D337" s="222" t="s">
        <v>76</v>
      </c>
      <c r="E337" s="72" t="s">
        <v>97</v>
      </c>
      <c r="F337" s="215">
        <v>38000</v>
      </c>
      <c r="G337" s="215">
        <f>F337*2.87%</f>
        <v>1090.5999999999999</v>
      </c>
      <c r="H337" s="215">
        <f t="shared" si="159"/>
        <v>1155.2</v>
      </c>
      <c r="I337" s="215"/>
      <c r="J337" s="215">
        <f>+G337+H337+I337</f>
        <v>2245.8000000000002</v>
      </c>
      <c r="K337" s="215">
        <f>+F337-J337</f>
        <v>35754.199999999997</v>
      </c>
      <c r="L337" s="69">
        <v>0</v>
      </c>
      <c r="M337" s="221">
        <v>6033.3</v>
      </c>
      <c r="N337" s="215">
        <f t="shared" si="150"/>
        <v>8279.1</v>
      </c>
      <c r="O337" s="221">
        <f t="shared" si="151"/>
        <v>29720.9</v>
      </c>
    </row>
    <row r="338" spans="1:16" s="148" customFormat="1" ht="35.1" customHeight="1" x14ac:dyDescent="0.2">
      <c r="A338" s="213">
        <f>+A337+1</f>
        <v>159</v>
      </c>
      <c r="B338" s="214" t="s">
        <v>439</v>
      </c>
      <c r="C338" s="213" t="s">
        <v>335</v>
      </c>
      <c r="D338" s="222" t="s">
        <v>16</v>
      </c>
      <c r="E338" s="72" t="s">
        <v>97</v>
      </c>
      <c r="F338" s="215">
        <v>38000</v>
      </c>
      <c r="G338" s="215">
        <f t="shared" ref="G338" si="160">F338*2.87%</f>
        <v>1090.5999999999999</v>
      </c>
      <c r="H338" s="215">
        <f t="shared" si="159"/>
        <v>1155.2</v>
      </c>
      <c r="I338" s="215">
        <v>0</v>
      </c>
      <c r="J338" s="215">
        <f t="shared" ref="J338" si="161">+G338+H338+I338</f>
        <v>2245.8000000000002</v>
      </c>
      <c r="K338" s="215">
        <f t="shared" si="148"/>
        <v>35754.199999999997</v>
      </c>
      <c r="L338" s="69">
        <v>0</v>
      </c>
      <c r="M338" s="221">
        <v>25</v>
      </c>
      <c r="N338" s="215">
        <f t="shared" si="150"/>
        <v>2270.8000000000002</v>
      </c>
      <c r="O338" s="221">
        <f t="shared" si="151"/>
        <v>35729.199999999997</v>
      </c>
      <c r="P338" s="219"/>
    </row>
    <row r="339" spans="1:16" s="219" customFormat="1" ht="35.1" customHeight="1" x14ac:dyDescent="0.2">
      <c r="A339" s="213">
        <f t="shared" ref="A339:A341" si="162">+A338+1</f>
        <v>160</v>
      </c>
      <c r="B339" s="214" t="s">
        <v>31</v>
      </c>
      <c r="C339" s="213" t="s">
        <v>336</v>
      </c>
      <c r="D339" s="222" t="s">
        <v>287</v>
      </c>
      <c r="E339" s="72" t="s">
        <v>97</v>
      </c>
      <c r="F339" s="215">
        <v>35000</v>
      </c>
      <c r="G339" s="215">
        <f t="shared" si="155"/>
        <v>1004.5</v>
      </c>
      <c r="H339" s="215">
        <f t="shared" si="156"/>
        <v>1064</v>
      </c>
      <c r="I339" s="215">
        <v>1919.78</v>
      </c>
      <c r="J339" s="215">
        <f t="shared" si="157"/>
        <v>3988.2799999999997</v>
      </c>
      <c r="K339" s="215">
        <f t="shared" si="148"/>
        <v>31011.72</v>
      </c>
      <c r="L339" s="69">
        <f t="shared" si="158"/>
        <v>0</v>
      </c>
      <c r="M339" s="221">
        <v>1290.29</v>
      </c>
      <c r="N339" s="215">
        <f t="shared" si="150"/>
        <v>5278.57</v>
      </c>
      <c r="O339" s="221">
        <f t="shared" si="151"/>
        <v>29721.43</v>
      </c>
    </row>
    <row r="340" spans="1:16" s="219" customFormat="1" ht="35.1" customHeight="1" x14ac:dyDescent="0.2">
      <c r="A340" s="213">
        <f t="shared" si="162"/>
        <v>161</v>
      </c>
      <c r="B340" s="214" t="s">
        <v>291</v>
      </c>
      <c r="C340" s="213" t="s">
        <v>335</v>
      </c>
      <c r="D340" s="222" t="s">
        <v>76</v>
      </c>
      <c r="E340" s="72" t="s">
        <v>191</v>
      </c>
      <c r="F340" s="215">
        <v>28000</v>
      </c>
      <c r="G340" s="215">
        <f t="shared" si="155"/>
        <v>803.6</v>
      </c>
      <c r="H340" s="215">
        <f t="shared" si="156"/>
        <v>851.2</v>
      </c>
      <c r="I340" s="215"/>
      <c r="J340" s="215">
        <f t="shared" ref="J340:J341" si="163">+G340+H340+I340</f>
        <v>1654.8000000000002</v>
      </c>
      <c r="K340" s="215">
        <f t="shared" si="148"/>
        <v>26345.200000000001</v>
      </c>
      <c r="L340" s="69">
        <f t="shared" si="158"/>
        <v>0</v>
      </c>
      <c r="M340" s="221">
        <v>5430.43</v>
      </c>
      <c r="N340" s="215">
        <f t="shared" si="150"/>
        <v>7085.2300000000005</v>
      </c>
      <c r="O340" s="221">
        <f t="shared" si="151"/>
        <v>20914.77</v>
      </c>
    </row>
    <row r="341" spans="1:16" s="148" customFormat="1" ht="35.1" customHeight="1" x14ac:dyDescent="0.2">
      <c r="A341" s="213">
        <f t="shared" si="162"/>
        <v>162</v>
      </c>
      <c r="B341" s="214" t="s">
        <v>447</v>
      </c>
      <c r="C341" s="213" t="s">
        <v>335</v>
      </c>
      <c r="D341" s="222" t="s">
        <v>167</v>
      </c>
      <c r="E341" s="72" t="s">
        <v>191</v>
      </c>
      <c r="F341" s="215">
        <v>30000</v>
      </c>
      <c r="G341" s="215">
        <f t="shared" si="155"/>
        <v>861</v>
      </c>
      <c r="H341" s="215">
        <f t="shared" si="156"/>
        <v>912</v>
      </c>
      <c r="I341" s="215"/>
      <c r="J341" s="215">
        <f t="shared" si="163"/>
        <v>1773</v>
      </c>
      <c r="K341" s="215">
        <f>+F341-J341</f>
        <v>28227</v>
      </c>
      <c r="L341" s="69">
        <f t="shared" si="158"/>
        <v>0</v>
      </c>
      <c r="M341" s="221">
        <v>1821.97</v>
      </c>
      <c r="N341" s="215">
        <f t="shared" si="150"/>
        <v>3594.9700000000003</v>
      </c>
      <c r="O341" s="221">
        <f t="shared" si="151"/>
        <v>26405.03</v>
      </c>
      <c r="P341" s="219"/>
    </row>
    <row r="342" spans="1:16" s="148" customFormat="1" ht="35.1" customHeight="1" x14ac:dyDescent="0.2">
      <c r="A342" s="223" t="s">
        <v>99</v>
      </c>
      <c r="B342" s="224"/>
      <c r="C342" s="224"/>
      <c r="D342" s="224"/>
      <c r="E342" s="239"/>
      <c r="F342" s="225">
        <f t="shared" ref="F342:O342" si="164">SUM(F328:F341)</f>
        <v>616500</v>
      </c>
      <c r="G342" s="225">
        <f t="shared" si="164"/>
        <v>17693.55</v>
      </c>
      <c r="H342" s="225">
        <f t="shared" si="164"/>
        <v>18741.600000000002</v>
      </c>
      <c r="I342" s="225">
        <f t="shared" si="164"/>
        <v>13438.460000000001</v>
      </c>
      <c r="J342" s="225">
        <f t="shared" si="164"/>
        <v>49873.610000000008</v>
      </c>
      <c r="K342" s="225">
        <f t="shared" si="164"/>
        <v>566626.3899999999</v>
      </c>
      <c r="L342" s="225">
        <f t="shared" si="164"/>
        <v>7075.6751666666669</v>
      </c>
      <c r="M342" s="225">
        <f t="shared" si="164"/>
        <v>77461.109999999986</v>
      </c>
      <c r="N342" s="225">
        <f t="shared" si="164"/>
        <v>134410.39516666665</v>
      </c>
      <c r="O342" s="225">
        <f t="shared" si="164"/>
        <v>482089.6048333334</v>
      </c>
      <c r="P342" s="219"/>
    </row>
    <row r="343" spans="1:16" s="148" customFormat="1" ht="35.1" customHeight="1" thickBot="1" x14ac:dyDescent="0.25">
      <c r="A343" s="227"/>
      <c r="B343" s="260"/>
      <c r="C343" s="261"/>
      <c r="D343" s="260"/>
      <c r="E343" s="260"/>
      <c r="F343" s="262"/>
      <c r="G343" s="262"/>
      <c r="H343" s="262"/>
      <c r="I343" s="262"/>
      <c r="J343" s="262"/>
      <c r="K343" s="262"/>
      <c r="L343" s="262"/>
      <c r="M343" s="262"/>
      <c r="N343" s="262"/>
      <c r="O343" s="262"/>
      <c r="P343" s="219"/>
    </row>
    <row r="344" spans="1:16" s="148" customFormat="1" ht="35.1" customHeight="1" thickBot="1" x14ac:dyDescent="0.25">
      <c r="A344" s="275"/>
      <c r="B344" s="276" t="s">
        <v>330</v>
      </c>
      <c r="C344" s="277"/>
      <c r="D344" s="278"/>
      <c r="E344" s="279"/>
      <c r="F344" s="280">
        <f t="shared" ref="F344:N344" si="165">+F17+F24+F28+F32+F39+F46+F50+F54+F60+F66+F70+F77+F83+F89+F93+F101+F106+F113+F119+F126+F131+F138+F143+F151+F156+F160+F163+F171+F178+F182+F187+F192+F196+F200+F206+F210+F214+F219+F224+F228+F233+F238+F271+F279+F305+F309+F314+F318+F324+F342+F147</f>
        <v>13117250</v>
      </c>
      <c r="G344" s="280">
        <f t="shared" si="165"/>
        <v>374169.07499999995</v>
      </c>
      <c r="H344" s="280">
        <f t="shared" si="165"/>
        <v>398376.19200000004</v>
      </c>
      <c r="I344" s="280">
        <f t="shared" si="165"/>
        <v>111347.23999999998</v>
      </c>
      <c r="J344" s="280">
        <f t="shared" si="165"/>
        <v>881460.50700000022</v>
      </c>
      <c r="K344" s="280">
        <f t="shared" si="165"/>
        <v>12155789.493000001</v>
      </c>
      <c r="L344" s="280">
        <f t="shared" si="165"/>
        <v>1097475.6545416671</v>
      </c>
      <c r="M344" s="280">
        <f t="shared" si="165"/>
        <v>961459.3</v>
      </c>
      <c r="N344" s="280">
        <f t="shared" si="165"/>
        <v>2945123.4615416666</v>
      </c>
      <c r="O344" s="280">
        <f>+O17+O24+O28+O32+O39+O46+O50+O54+O60+O66+O70+O77+O83+O89+O93+O101+O106+O113+O119+O126+O131+O138+O143+O151+O156+O160+O163+O171+O178+O182+O187+O192+O196+O200+O206+O210+O214+O219+O224+O228+O233+O238+O271+O279+O305+O309+O314+O318+O324+O342+O147</f>
        <v>10172126.538458332</v>
      </c>
      <c r="P344" s="219"/>
    </row>
    <row r="345" spans="1:16" s="148" customFormat="1" ht="35.1" customHeight="1" x14ac:dyDescent="0.2">
      <c r="A345" s="275"/>
      <c r="B345" s="285"/>
      <c r="C345" s="286"/>
      <c r="D345" s="285"/>
      <c r="E345" s="285"/>
      <c r="G345" s="149"/>
      <c r="H345" s="149"/>
      <c r="I345" s="149"/>
      <c r="J345" s="149"/>
      <c r="K345" s="281"/>
      <c r="L345" s="149"/>
      <c r="M345" s="149"/>
      <c r="N345" s="149"/>
      <c r="O345" s="149"/>
      <c r="P345" s="219"/>
    </row>
    <row r="346" spans="1:16" s="148" customFormat="1" ht="35.1" customHeight="1" x14ac:dyDescent="0.2">
      <c r="A346" s="203"/>
      <c r="B346" s="147"/>
      <c r="C346" s="203"/>
      <c r="D346" s="147"/>
      <c r="E346" s="147"/>
      <c r="G346" s="149"/>
      <c r="H346" s="149"/>
      <c r="I346" s="149"/>
      <c r="J346" s="149"/>
      <c r="K346" s="149"/>
      <c r="L346" s="149"/>
      <c r="M346" s="149"/>
      <c r="N346" s="149"/>
      <c r="O346" s="149"/>
      <c r="P346" s="219"/>
    </row>
    <row r="347" spans="1:16" s="148" customFormat="1" ht="35.1" customHeight="1" thickBot="1" x14ac:dyDescent="0.25">
      <c r="A347" s="203"/>
      <c r="B347" s="361" t="s">
        <v>625</v>
      </c>
      <c r="C347" s="361"/>
      <c r="D347" s="120"/>
      <c r="E347" s="362"/>
      <c r="F347" s="362"/>
      <c r="G347" s="149"/>
      <c r="H347" s="316"/>
      <c r="I347" s="281"/>
      <c r="J347" s="149"/>
      <c r="K347" s="288"/>
      <c r="L347" s="149"/>
      <c r="M347" s="149"/>
      <c r="N347" s="149"/>
      <c r="O347" s="149"/>
      <c r="P347" s="219"/>
    </row>
    <row r="348" spans="1:16" s="148" customFormat="1" ht="35.1" customHeight="1" x14ac:dyDescent="0.2">
      <c r="A348" s="203"/>
      <c r="B348" s="363" t="s">
        <v>639</v>
      </c>
      <c r="C348" s="363"/>
      <c r="D348" s="120"/>
      <c r="E348" s="364"/>
      <c r="F348" s="364"/>
      <c r="G348" s="149"/>
      <c r="H348" s="149"/>
      <c r="I348" s="149"/>
      <c r="J348" s="149"/>
      <c r="K348" s="288"/>
      <c r="L348" s="149"/>
      <c r="M348" s="149"/>
      <c r="N348" s="149"/>
      <c r="O348" s="149"/>
      <c r="P348" s="219"/>
    </row>
    <row r="349" spans="1:16" s="148" customFormat="1" ht="35.1" customHeight="1" x14ac:dyDescent="0.2">
      <c r="A349" s="203"/>
      <c r="B349" s="147"/>
      <c r="C349" s="203"/>
      <c r="D349" s="147"/>
      <c r="E349" s="147"/>
      <c r="G349" s="149"/>
      <c r="H349" s="149"/>
      <c r="I349" s="149"/>
      <c r="J349" s="149"/>
      <c r="K349" s="288"/>
      <c r="L349" s="149"/>
      <c r="M349" s="149"/>
      <c r="N349" s="149"/>
      <c r="O349" s="149"/>
      <c r="P349" s="219"/>
    </row>
    <row r="350" spans="1:16" s="219" customFormat="1" ht="35.1" customHeight="1" x14ac:dyDescent="0.2">
      <c r="A350" s="203"/>
      <c r="B350" s="147"/>
      <c r="C350" s="203"/>
      <c r="D350" s="147"/>
      <c r="E350" s="147"/>
      <c r="F350" s="148"/>
      <c r="G350" s="149"/>
      <c r="H350" s="149"/>
      <c r="I350" s="149"/>
      <c r="J350" s="149"/>
      <c r="K350" s="288"/>
      <c r="L350" s="149"/>
      <c r="M350" s="149"/>
      <c r="N350" s="149"/>
      <c r="O350" s="149"/>
    </row>
    <row r="351" spans="1:16" s="148" customFormat="1" ht="35.1" customHeight="1" x14ac:dyDescent="0.2">
      <c r="A351" s="203"/>
      <c r="B351" s="147"/>
      <c r="C351" s="203"/>
      <c r="D351" s="147"/>
      <c r="E351" s="147"/>
      <c r="G351" s="149"/>
      <c r="H351" s="149"/>
      <c r="I351" s="149"/>
      <c r="J351" s="149"/>
      <c r="K351" s="288"/>
      <c r="L351" s="149"/>
      <c r="M351" s="149"/>
      <c r="N351" s="149"/>
      <c r="O351" s="149"/>
      <c r="P351" s="219"/>
    </row>
    <row r="352" spans="1:16" s="148" customFormat="1" ht="35.1" customHeight="1" x14ac:dyDescent="0.2">
      <c r="A352" s="203"/>
      <c r="B352" s="147"/>
      <c r="C352" s="203"/>
      <c r="D352" s="147"/>
      <c r="E352" s="147"/>
      <c r="G352" s="149"/>
      <c r="H352" s="149"/>
      <c r="I352" s="149"/>
      <c r="J352" s="149"/>
      <c r="K352" s="288"/>
      <c r="L352" s="149"/>
      <c r="M352" s="149"/>
      <c r="N352" s="149"/>
      <c r="O352" s="149"/>
      <c r="P352" s="219"/>
    </row>
    <row r="353" spans="1:16" s="148" customFormat="1" ht="35.1" customHeight="1" x14ac:dyDescent="0.2">
      <c r="A353" s="203"/>
      <c r="B353" s="147"/>
      <c r="C353" s="203"/>
      <c r="D353" s="147"/>
      <c r="E353" s="147"/>
      <c r="G353" s="149"/>
      <c r="H353" s="149"/>
      <c r="I353" s="149"/>
      <c r="J353" s="149"/>
      <c r="K353" s="288"/>
      <c r="L353" s="149"/>
      <c r="M353" s="149"/>
      <c r="N353" s="149"/>
      <c r="O353" s="149"/>
      <c r="P353" s="219"/>
    </row>
    <row r="354" spans="1:16" s="148" customFormat="1" ht="35.1" customHeight="1" x14ac:dyDescent="0.2">
      <c r="A354" s="203"/>
      <c r="B354" s="147"/>
      <c r="C354" s="203"/>
      <c r="D354" s="147"/>
      <c r="E354" s="147"/>
      <c r="G354" s="149"/>
      <c r="H354" s="149"/>
      <c r="I354" s="149"/>
      <c r="J354" s="149"/>
      <c r="K354" s="149"/>
      <c r="L354" s="149"/>
      <c r="M354" s="149"/>
      <c r="N354" s="149"/>
      <c r="O354" s="149"/>
      <c r="P354" s="219"/>
    </row>
    <row r="355" spans="1:16" s="218" customFormat="1" ht="35.1" customHeight="1" x14ac:dyDescent="0.2">
      <c r="A355" s="203"/>
      <c r="B355" s="147"/>
      <c r="C355" s="203"/>
      <c r="D355" s="147"/>
      <c r="E355" s="147"/>
      <c r="F355" s="148"/>
      <c r="G355" s="149"/>
      <c r="H355" s="149"/>
      <c r="I355" s="149"/>
      <c r="J355" s="149"/>
      <c r="K355" s="149"/>
      <c r="L355" s="149"/>
      <c r="M355" s="149"/>
      <c r="N355" s="149"/>
      <c r="O355" s="149"/>
    </row>
    <row r="356" spans="1:16" s="218" customFormat="1" ht="35.1" customHeight="1" x14ac:dyDescent="0.2">
      <c r="A356" s="203"/>
      <c r="B356" s="147"/>
      <c r="C356" s="203"/>
      <c r="D356" s="147"/>
      <c r="E356" s="147"/>
      <c r="F356" s="148"/>
      <c r="G356" s="149"/>
      <c r="H356" s="149"/>
      <c r="I356" s="149"/>
      <c r="J356" s="149"/>
      <c r="K356" s="149"/>
      <c r="L356" s="149"/>
      <c r="M356" s="149"/>
      <c r="N356" s="149"/>
      <c r="O356" s="149"/>
    </row>
    <row r="16859" spans="2:16" ht="35.1" customHeight="1" x14ac:dyDescent="0.2">
      <c r="B16859" s="144">
        <f>SUM(B6:B16858)</f>
        <v>0</v>
      </c>
    </row>
    <row r="16861" spans="2:16" s="113" customFormat="1" ht="35.1" customHeight="1" x14ac:dyDescent="0.2">
      <c r="B16861" s="144">
        <f>SUM(B16859)</f>
        <v>0</v>
      </c>
      <c r="P16861" s="124"/>
    </row>
    <row r="1000184" spans="14:14" ht="35.1" customHeight="1" x14ac:dyDescent="0.2">
      <c r="N1000184" s="123" t="e">
        <f>SUM(#REF!)</f>
        <v>#REF!</v>
      </c>
    </row>
  </sheetData>
  <mergeCells count="25">
    <mergeCell ref="A91:E91"/>
    <mergeCell ref="A95:E95"/>
    <mergeCell ref="A103:E103"/>
    <mergeCell ref="A108:E108"/>
    <mergeCell ref="A114:E114"/>
    <mergeCell ref="A1:O1"/>
    <mergeCell ref="A2:O2"/>
    <mergeCell ref="A3:O3"/>
    <mergeCell ref="A85:D85"/>
    <mergeCell ref="G5:J5"/>
    <mergeCell ref="A52:B52"/>
    <mergeCell ref="A56:B56"/>
    <mergeCell ref="A62:B62"/>
    <mergeCell ref="A67:C67"/>
    <mergeCell ref="A72:D72"/>
    <mergeCell ref="A79:D79"/>
    <mergeCell ref="B348:C348"/>
    <mergeCell ref="B347:C347"/>
    <mergeCell ref="A121:E121"/>
    <mergeCell ref="A128:E128"/>
    <mergeCell ref="A133:E133"/>
    <mergeCell ref="A149:E149"/>
    <mergeCell ref="A221:D221"/>
    <mergeCell ref="E347:F347"/>
    <mergeCell ref="E348:F348"/>
  </mergeCells>
  <pageMargins left="0.23622047244094488" right="0.23622047244094488" top="0.31" bottom="0.25" header="0.31496062992125984" footer="0.26"/>
  <pageSetup paperSize="5" scale="51" fitToHeight="0" orientation="landscape" r:id="rId1"/>
  <rowBreaks count="14" manualBreakCount="14">
    <brk id="32" max="14" man="1"/>
    <brk id="57" max="14" man="1"/>
    <brk id="84" max="14" man="1"/>
    <brk id="111" max="14" man="1"/>
    <brk id="138" max="14" man="1"/>
    <brk id="163" max="14" man="1"/>
    <brk id="187" max="14" man="1"/>
    <brk id="215" max="14" man="1"/>
    <brk id="239" max="14" man="1"/>
    <brk id="264" max="14" man="1"/>
    <brk id="290" max="14" man="1"/>
    <brk id="315" max="14" man="1"/>
    <brk id="340" max="14" man="1"/>
    <brk id="356" max="15" man="1"/>
  </rowBreaks>
  <ignoredErrors>
    <ignoredError sqref="H15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48212"/>
  <sheetViews>
    <sheetView showGridLines="0" tabSelected="1" topLeftCell="A260" zoomScale="67" zoomScaleNormal="67" zoomScaleSheetLayoutView="55" workbookViewId="0">
      <pane xSplit="4" topLeftCell="E1" activePane="topRight" state="frozen"/>
      <selection pane="topRight" activeCell="G279" sqref="G279"/>
    </sheetView>
  </sheetViews>
  <sheetFormatPr baseColWidth="10" defaultColWidth="11.42578125" defaultRowHeight="39.950000000000003" customHeight="1" x14ac:dyDescent="0.2"/>
  <cols>
    <col min="1" max="1" width="6.42578125" style="113" customWidth="1"/>
    <col min="2" max="2" width="38.85546875" style="144" customWidth="1"/>
    <col min="3" max="3" width="11.7109375" style="113" customWidth="1"/>
    <col min="4" max="4" width="54.42578125" style="144" bestFit="1" customWidth="1"/>
    <col min="5" max="5" width="20.42578125" style="144" customWidth="1"/>
    <col min="6" max="6" width="25.42578125" style="323" customWidth="1"/>
    <col min="7" max="7" width="23.140625" style="323" customWidth="1"/>
    <col min="8" max="8" width="19.85546875" style="111" customWidth="1"/>
    <col min="9" max="9" width="17.140625" style="110" customWidth="1"/>
    <col min="10" max="10" width="16.85546875" style="110" customWidth="1"/>
    <col min="11" max="11" width="16.140625" style="110" customWidth="1"/>
    <col min="12" max="12" width="17.28515625" style="110" customWidth="1"/>
    <col min="13" max="13" width="26.140625" style="110" customWidth="1"/>
    <col min="14" max="14" width="16.42578125" style="110" customWidth="1"/>
    <col min="15" max="15" width="14.140625" style="110" customWidth="1"/>
    <col min="16" max="16" width="19" style="110" customWidth="1"/>
    <col min="17" max="17" width="20" style="110" customWidth="1"/>
    <col min="18" max="18" width="20.140625" style="110" customWidth="1"/>
    <col min="19" max="19" width="11.42578125" style="99"/>
    <col min="20" max="16384" width="11.42578125" style="110"/>
  </cols>
  <sheetData>
    <row r="1" spans="1:19" ht="39.950000000000003" customHeight="1" x14ac:dyDescent="0.2">
      <c r="B1" s="143"/>
      <c r="C1" s="133"/>
    </row>
    <row r="2" spans="1:19" ht="31.5" customHeight="1" x14ac:dyDescent="0.2">
      <c r="A2" s="377" t="s">
        <v>325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  <c r="R2" s="377"/>
    </row>
    <row r="3" spans="1:19" ht="24.75" customHeight="1" x14ac:dyDescent="0.2">
      <c r="A3" s="378" t="s">
        <v>328</v>
      </c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</row>
    <row r="4" spans="1:19" ht="27" customHeight="1" x14ac:dyDescent="0.2">
      <c r="A4" s="390" t="s">
        <v>664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</row>
    <row r="5" spans="1:19" ht="39.950000000000003" customHeight="1" thickBot="1" x14ac:dyDescent="0.25">
      <c r="A5" s="138"/>
      <c r="B5" s="138"/>
      <c r="C5" s="106"/>
      <c r="D5" s="143"/>
      <c r="E5" s="143"/>
      <c r="F5" s="143"/>
      <c r="G5" s="143"/>
      <c r="H5" s="106"/>
    </row>
    <row r="6" spans="1:19" ht="39.950000000000003" customHeight="1" thickBot="1" x14ac:dyDescent="0.25">
      <c r="A6" s="145"/>
      <c r="B6" s="145"/>
      <c r="C6" s="146"/>
      <c r="D6" s="147"/>
      <c r="E6" s="147"/>
      <c r="F6" s="212"/>
      <c r="G6" s="212"/>
      <c r="H6" s="148"/>
      <c r="I6" s="371" t="s">
        <v>95</v>
      </c>
      <c r="J6" s="391"/>
      <c r="K6" s="391"/>
      <c r="L6" s="372"/>
      <c r="M6" s="95"/>
      <c r="N6" s="149"/>
      <c r="O6" s="149"/>
      <c r="P6" s="149"/>
      <c r="Q6" s="149"/>
      <c r="R6" s="149"/>
    </row>
    <row r="7" spans="1:19" s="111" customFormat="1" ht="51.75" customHeight="1" thickBot="1" x14ac:dyDescent="0.25">
      <c r="A7" s="19" t="s">
        <v>0</v>
      </c>
      <c r="B7" s="19" t="s">
        <v>333</v>
      </c>
      <c r="C7" s="19" t="s">
        <v>337</v>
      </c>
      <c r="D7" s="19" t="s">
        <v>349</v>
      </c>
      <c r="E7" s="19" t="s">
        <v>89</v>
      </c>
      <c r="F7" s="19" t="s">
        <v>93</v>
      </c>
      <c r="G7" s="19" t="s">
        <v>94</v>
      </c>
      <c r="H7" s="21" t="s">
        <v>98</v>
      </c>
      <c r="I7" s="19" t="s">
        <v>1</v>
      </c>
      <c r="J7" s="19" t="s">
        <v>2</v>
      </c>
      <c r="K7" s="21" t="s">
        <v>601</v>
      </c>
      <c r="L7" s="19" t="s">
        <v>437</v>
      </c>
      <c r="M7" s="21" t="s">
        <v>438</v>
      </c>
      <c r="N7" s="21" t="s">
        <v>90</v>
      </c>
      <c r="O7" s="21" t="s">
        <v>514</v>
      </c>
      <c r="P7" s="21" t="s">
        <v>92</v>
      </c>
      <c r="Q7" s="21" t="s">
        <v>3</v>
      </c>
      <c r="R7" s="21" t="s">
        <v>91</v>
      </c>
      <c r="S7" s="115"/>
    </row>
    <row r="8" spans="1:19" s="111" customFormat="1" ht="39.950000000000003" customHeight="1" thickBot="1" x14ac:dyDescent="0.25">
      <c r="A8" s="150" t="s">
        <v>295</v>
      </c>
      <c r="B8" s="151"/>
      <c r="C8" s="151"/>
      <c r="D8" s="151"/>
      <c r="E8" s="151"/>
      <c r="F8" s="324"/>
      <c r="G8" s="324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15"/>
    </row>
    <row r="9" spans="1:19" s="115" customFormat="1" ht="39.950000000000003" customHeight="1" x14ac:dyDescent="0.2">
      <c r="A9" s="152">
        <v>1</v>
      </c>
      <c r="B9" s="116" t="s">
        <v>296</v>
      </c>
      <c r="C9" s="130" t="s">
        <v>335</v>
      </c>
      <c r="D9" s="153" t="s">
        <v>489</v>
      </c>
      <c r="E9" s="153" t="s">
        <v>179</v>
      </c>
      <c r="F9" s="154" t="s">
        <v>599</v>
      </c>
      <c r="G9" s="154" t="s">
        <v>630</v>
      </c>
      <c r="H9" s="155">
        <v>200000</v>
      </c>
      <c r="I9" s="116">
        <v>5740</v>
      </c>
      <c r="J9" s="116">
        <v>6080</v>
      </c>
      <c r="K9" s="116"/>
      <c r="L9" s="116">
        <f>+J9+I9+K9</f>
        <v>11820</v>
      </c>
      <c r="M9" s="116">
        <f>+H9-L9</f>
        <v>188180</v>
      </c>
      <c r="N9" s="116">
        <f>+IF(M9*12&lt;=416220.01,0,IF(M9*12&lt;=624329.01,(((M9*12-416220.01)*0.15)/12),IF((M9*12&lt;=867123.01),(31216+0.2*(M9*12-624329.01))/12,((79776+0.25*(M9*12-867123.01))/12))))-O9</f>
        <v>35627.937291666669</v>
      </c>
      <c r="O9" s="116"/>
      <c r="P9" s="155">
        <v>25</v>
      </c>
      <c r="Q9" s="116">
        <f>+P9+N9+L9</f>
        <v>47472.937291666669</v>
      </c>
      <c r="R9" s="155">
        <f>+H9-Q9</f>
        <v>152527.06270833334</v>
      </c>
    </row>
    <row r="10" spans="1:19" s="115" customFormat="1" ht="39.950000000000003" customHeight="1" x14ac:dyDescent="0.2">
      <c r="A10" s="156">
        <v>2</v>
      </c>
      <c r="B10" s="157" t="s">
        <v>297</v>
      </c>
      <c r="C10" s="130" t="s">
        <v>335</v>
      </c>
      <c r="D10" s="153" t="s">
        <v>334</v>
      </c>
      <c r="E10" s="153" t="s">
        <v>179</v>
      </c>
      <c r="F10" s="322" t="s">
        <v>624</v>
      </c>
      <c r="G10" s="322" t="s">
        <v>622</v>
      </c>
      <c r="H10" s="158">
        <v>140000</v>
      </c>
      <c r="I10" s="116">
        <f>H10*2.87%</f>
        <v>4018</v>
      </c>
      <c r="J10" s="116">
        <f>+H10*3.04%</f>
        <v>4256</v>
      </c>
      <c r="K10" s="116"/>
      <c r="L10" s="116">
        <f>+J10+I10+K10</f>
        <v>8274</v>
      </c>
      <c r="M10" s="116">
        <f>+H10-L10</f>
        <v>131726</v>
      </c>
      <c r="N10" s="116">
        <f>+IF(M10*12&lt;=416220.01,0,IF(M10*12&lt;=624329.01,(((M10*12-416220.01)*0.15)/12),IF((M10*12&lt;=867123.01),(31216+0.2*(M10*12-624329.01))/12,((79776+0.25*(M10*12-867123.01))/12))))-O10</f>
        <v>21514.437291666665</v>
      </c>
      <c r="O10" s="116"/>
      <c r="P10" s="155">
        <v>25</v>
      </c>
      <c r="Q10" s="116">
        <f>+P10+N10+L10</f>
        <v>29813.437291666665</v>
      </c>
      <c r="R10" s="159">
        <f>+H10-Q10</f>
        <v>110186.56270833334</v>
      </c>
    </row>
    <row r="11" spans="1:19" s="115" customFormat="1" ht="39.950000000000003" customHeight="1" x14ac:dyDescent="0.2">
      <c r="A11" s="385" t="s">
        <v>99</v>
      </c>
      <c r="B11" s="386"/>
      <c r="C11" s="100"/>
      <c r="D11" s="100"/>
      <c r="E11" s="100"/>
      <c r="F11" s="325"/>
      <c r="G11" s="325"/>
      <c r="H11" s="101">
        <f>SUM(H9:H10)</f>
        <v>340000</v>
      </c>
      <c r="I11" s="101">
        <f t="shared" ref="I11:Q11" si="0">SUM(I9:I10)</f>
        <v>9758</v>
      </c>
      <c r="J11" s="101">
        <f t="shared" si="0"/>
        <v>10336</v>
      </c>
      <c r="K11" s="101">
        <f t="shared" si="0"/>
        <v>0</v>
      </c>
      <c r="L11" s="101">
        <f t="shared" si="0"/>
        <v>20094</v>
      </c>
      <c r="M11" s="101">
        <f t="shared" si="0"/>
        <v>319906</v>
      </c>
      <c r="N11" s="101">
        <f t="shared" si="0"/>
        <v>57142.374583333338</v>
      </c>
      <c r="O11" s="101">
        <f t="shared" si="0"/>
        <v>0</v>
      </c>
      <c r="P11" s="101">
        <f t="shared" si="0"/>
        <v>50</v>
      </c>
      <c r="Q11" s="101">
        <f t="shared" si="0"/>
        <v>77286.374583333338</v>
      </c>
      <c r="R11" s="101">
        <f>SUM(R9:R10)</f>
        <v>262713.62541666668</v>
      </c>
    </row>
    <row r="12" spans="1:19" s="111" customFormat="1" ht="39.950000000000003" customHeight="1" thickBot="1" x14ac:dyDescent="0.25">
      <c r="A12" s="98"/>
      <c r="B12" s="98"/>
      <c r="C12" s="133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115"/>
    </row>
    <row r="13" spans="1:19" s="111" customFormat="1" ht="39.950000000000003" customHeight="1" thickBot="1" x14ac:dyDescent="0.25">
      <c r="A13" s="150" t="s">
        <v>243</v>
      </c>
      <c r="B13" s="151"/>
      <c r="C13" s="151"/>
      <c r="D13" s="151"/>
      <c r="E13" s="151"/>
      <c r="F13" s="324"/>
      <c r="G13" s="324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15"/>
    </row>
    <row r="14" spans="1:19" s="111" customFormat="1" ht="39.950000000000003" customHeight="1" x14ac:dyDescent="0.2">
      <c r="A14" s="108">
        <f>+A10+1</f>
        <v>3</v>
      </c>
      <c r="B14" s="160" t="s">
        <v>434</v>
      </c>
      <c r="C14" s="135" t="s">
        <v>336</v>
      </c>
      <c r="D14" s="107" t="s">
        <v>503</v>
      </c>
      <c r="E14" s="153" t="s">
        <v>179</v>
      </c>
      <c r="F14" s="174" t="s">
        <v>635</v>
      </c>
      <c r="G14" s="174" t="s">
        <v>662</v>
      </c>
      <c r="H14" s="164">
        <v>180000</v>
      </c>
      <c r="I14" s="105">
        <f>H14*2.87%</f>
        <v>5166</v>
      </c>
      <c r="J14" s="105">
        <f>+H14*3.04%</f>
        <v>5472</v>
      </c>
      <c r="K14" s="105"/>
      <c r="L14" s="116">
        <f>+J14+I14+K14</f>
        <v>10638</v>
      </c>
      <c r="M14" s="116">
        <f>+H14-L14</f>
        <v>169362</v>
      </c>
      <c r="N14" s="116">
        <f t="shared" ref="N14:N18" si="1">+IF(M14*12&lt;=416220.01,0,IF(M14*12&lt;=624329.01,(((M14*12-416220.01)*0.15)/12),IF((M14*12&lt;=867123.01),(31216+0.2*(M14*12-624329.01))/12,((79776+0.25*(M14*12-867123.01))/12))))-O14</f>
        <v>30923.437291666665</v>
      </c>
      <c r="O14" s="116"/>
      <c r="P14" s="117">
        <v>25</v>
      </c>
      <c r="Q14" s="116">
        <f t="shared" ref="Q14:Q19" si="2">+P14+N14+L14</f>
        <v>41586.437291666662</v>
      </c>
      <c r="R14" s="117">
        <f t="shared" ref="R14:R19" si="3">H14-Q14</f>
        <v>138413.56270833334</v>
      </c>
      <c r="S14" s="115"/>
    </row>
    <row r="15" spans="1:19" s="115" customFormat="1" ht="39.950000000000003" customHeight="1" x14ac:dyDescent="0.2">
      <c r="A15" s="108">
        <f>+A14+1</f>
        <v>4</v>
      </c>
      <c r="B15" s="160" t="s">
        <v>435</v>
      </c>
      <c r="C15" s="135" t="s">
        <v>335</v>
      </c>
      <c r="D15" s="107" t="s">
        <v>422</v>
      </c>
      <c r="E15" s="153" t="s">
        <v>179</v>
      </c>
      <c r="F15" s="174" t="s">
        <v>609</v>
      </c>
      <c r="G15" s="174" t="s">
        <v>650</v>
      </c>
      <c r="H15" s="164">
        <v>80000</v>
      </c>
      <c r="I15" s="105">
        <f>H15*2.87%</f>
        <v>2296</v>
      </c>
      <c r="J15" s="105">
        <f>+H15*3.04%</f>
        <v>2432</v>
      </c>
      <c r="K15" s="105"/>
      <c r="L15" s="116">
        <f t="shared" ref="L15" si="4">+J15+I15+K15</f>
        <v>4728</v>
      </c>
      <c r="M15" s="116">
        <f t="shared" ref="M15" si="5">+H15-L15</f>
        <v>75272</v>
      </c>
      <c r="N15" s="116">
        <f t="shared" si="1"/>
        <v>7400.9372916666662</v>
      </c>
      <c r="O15" s="116">
        <v>0</v>
      </c>
      <c r="P15" s="117">
        <v>25</v>
      </c>
      <c r="Q15" s="116">
        <f t="shared" si="2"/>
        <v>12153.937291666665</v>
      </c>
      <c r="R15" s="117">
        <f t="shared" si="3"/>
        <v>67846.062708333338</v>
      </c>
    </row>
    <row r="16" spans="1:19" s="115" customFormat="1" ht="39.950000000000003" customHeight="1" x14ac:dyDescent="0.2">
      <c r="A16" s="152">
        <f>+A15+1</f>
        <v>5</v>
      </c>
      <c r="B16" s="157" t="s">
        <v>416</v>
      </c>
      <c r="C16" s="130" t="s">
        <v>335</v>
      </c>
      <c r="D16" s="153" t="s">
        <v>527</v>
      </c>
      <c r="E16" s="153" t="s">
        <v>179</v>
      </c>
      <c r="F16" s="174" t="s">
        <v>635</v>
      </c>
      <c r="G16" s="174" t="s">
        <v>662</v>
      </c>
      <c r="H16" s="158">
        <v>80000</v>
      </c>
      <c r="I16" s="105">
        <f>H16*2.87%</f>
        <v>2296</v>
      </c>
      <c r="J16" s="105">
        <f>+H16*3.04%</f>
        <v>2432</v>
      </c>
      <c r="K16" s="105"/>
      <c r="L16" s="116">
        <f>+J16+I16+K16</f>
        <v>4728</v>
      </c>
      <c r="M16" s="116">
        <f>+H16-L16</f>
        <v>75272</v>
      </c>
      <c r="N16" s="116">
        <f t="shared" si="1"/>
        <v>7400.9372916666662</v>
      </c>
      <c r="O16" s="116">
        <v>0</v>
      </c>
      <c r="P16" s="117">
        <v>1640.38</v>
      </c>
      <c r="Q16" s="116">
        <f t="shared" si="2"/>
        <v>13769.317291666666</v>
      </c>
      <c r="R16" s="117">
        <f t="shared" si="3"/>
        <v>66230.682708333334</v>
      </c>
    </row>
    <row r="17" spans="1:19" s="115" customFormat="1" ht="39.950000000000003" customHeight="1" x14ac:dyDescent="0.2">
      <c r="A17" s="152">
        <f t="shared" ref="A17:A18" si="6">+A16+1</f>
        <v>6</v>
      </c>
      <c r="B17" s="157" t="s">
        <v>294</v>
      </c>
      <c r="C17" s="130" t="s">
        <v>336</v>
      </c>
      <c r="D17" s="153" t="s">
        <v>527</v>
      </c>
      <c r="E17" s="153" t="s">
        <v>179</v>
      </c>
      <c r="F17" s="154" t="s">
        <v>599</v>
      </c>
      <c r="G17" s="154" t="s">
        <v>630</v>
      </c>
      <c r="H17" s="158">
        <v>80000</v>
      </c>
      <c r="I17" s="105">
        <f t="shared" ref="I17:I19" si="7">H17*2.87%</f>
        <v>2296</v>
      </c>
      <c r="J17" s="105">
        <f t="shared" ref="J17:J19" si="8">+H17*3.04%</f>
        <v>2432</v>
      </c>
      <c r="K17" s="105"/>
      <c r="L17" s="116">
        <f t="shared" ref="L17:L19" si="9">+J17+I17+K17</f>
        <v>4728</v>
      </c>
      <c r="M17" s="116">
        <f t="shared" ref="M17:M19" si="10">+H17-L17</f>
        <v>75272</v>
      </c>
      <c r="N17" s="116">
        <f t="shared" si="1"/>
        <v>7400.9372916666662</v>
      </c>
      <c r="O17" s="116">
        <v>0</v>
      </c>
      <c r="P17" s="159">
        <f>200+65</f>
        <v>265</v>
      </c>
      <c r="Q17" s="116">
        <f t="shared" si="2"/>
        <v>12393.937291666665</v>
      </c>
      <c r="R17" s="117">
        <f t="shared" si="3"/>
        <v>67606.062708333338</v>
      </c>
    </row>
    <row r="18" spans="1:19" s="111" customFormat="1" ht="39.950000000000003" customHeight="1" x14ac:dyDescent="0.2">
      <c r="A18" s="108">
        <f t="shared" si="6"/>
        <v>7</v>
      </c>
      <c r="B18" s="167" t="s">
        <v>528</v>
      </c>
      <c r="C18" s="135" t="s">
        <v>336</v>
      </c>
      <c r="D18" s="107" t="s">
        <v>527</v>
      </c>
      <c r="E18" s="153" t="s">
        <v>179</v>
      </c>
      <c r="F18" s="154" t="s">
        <v>599</v>
      </c>
      <c r="G18" s="154" t="s">
        <v>630</v>
      </c>
      <c r="H18" s="164">
        <v>80000</v>
      </c>
      <c r="I18" s="105">
        <f t="shared" si="7"/>
        <v>2296</v>
      </c>
      <c r="J18" s="105">
        <f t="shared" si="8"/>
        <v>2432</v>
      </c>
      <c r="K18" s="105"/>
      <c r="L18" s="116">
        <f t="shared" si="9"/>
        <v>4728</v>
      </c>
      <c r="M18" s="116">
        <f t="shared" si="10"/>
        <v>75272</v>
      </c>
      <c r="N18" s="116">
        <f t="shared" si="1"/>
        <v>7400.9372916666662</v>
      </c>
      <c r="O18" s="116">
        <v>0</v>
      </c>
      <c r="P18" s="159">
        <v>225</v>
      </c>
      <c r="Q18" s="116">
        <f t="shared" si="2"/>
        <v>12353.937291666665</v>
      </c>
      <c r="R18" s="117">
        <f t="shared" si="3"/>
        <v>67646.062708333338</v>
      </c>
      <c r="S18" s="115"/>
    </row>
    <row r="19" spans="1:19" s="111" customFormat="1" ht="39.950000000000003" customHeight="1" x14ac:dyDescent="0.2">
      <c r="A19" s="108">
        <f>+A18+1</f>
        <v>8</v>
      </c>
      <c r="B19" s="167" t="s">
        <v>568</v>
      </c>
      <c r="C19" s="135" t="s">
        <v>335</v>
      </c>
      <c r="D19" s="107" t="s">
        <v>527</v>
      </c>
      <c r="E19" s="153" t="s">
        <v>179</v>
      </c>
      <c r="F19" s="174" t="s">
        <v>609</v>
      </c>
      <c r="G19" s="174" t="s">
        <v>650</v>
      </c>
      <c r="H19" s="164">
        <v>80000</v>
      </c>
      <c r="I19" s="105">
        <f t="shared" si="7"/>
        <v>2296</v>
      </c>
      <c r="J19" s="105">
        <f t="shared" si="8"/>
        <v>2432</v>
      </c>
      <c r="K19" s="105"/>
      <c r="L19" s="116">
        <f t="shared" si="9"/>
        <v>4728</v>
      </c>
      <c r="M19" s="116">
        <f t="shared" si="10"/>
        <v>75272</v>
      </c>
      <c r="N19" s="116">
        <v>0</v>
      </c>
      <c r="O19" s="116"/>
      <c r="P19" s="159">
        <v>4525</v>
      </c>
      <c r="Q19" s="116">
        <f t="shared" si="2"/>
        <v>9253</v>
      </c>
      <c r="R19" s="117">
        <f t="shared" si="3"/>
        <v>70747</v>
      </c>
      <c r="S19" s="115"/>
    </row>
    <row r="20" spans="1:19" s="111" customFormat="1" ht="39.950000000000003" customHeight="1" x14ac:dyDescent="0.2">
      <c r="A20" s="385" t="s">
        <v>99</v>
      </c>
      <c r="B20" s="386"/>
      <c r="C20" s="100"/>
      <c r="D20" s="100"/>
      <c r="E20" s="100"/>
      <c r="F20" s="325"/>
      <c r="G20" s="325"/>
      <c r="H20" s="101">
        <f>SUM(H14:H19)</f>
        <v>580000</v>
      </c>
      <c r="I20" s="101">
        <f>SUM(I14:I19)</f>
        <v>16646</v>
      </c>
      <c r="J20" s="101">
        <f>SUM(J14:J19)</f>
        <v>17632</v>
      </c>
      <c r="K20" s="101">
        <f>SUM(K14:K18)</f>
        <v>0</v>
      </c>
      <c r="L20" s="101">
        <f>SUM(L14:L19)</f>
        <v>34278</v>
      </c>
      <c r="M20" s="101">
        <f>SUM(M14:M19)</f>
        <v>545722</v>
      </c>
      <c r="N20" s="101">
        <f>SUM(N14:N19)</f>
        <v>60527.186458333337</v>
      </c>
      <c r="O20" s="101">
        <f>SUM(O14:O18)</f>
        <v>0</v>
      </c>
      <c r="P20" s="101">
        <f>SUM(P14:P19)</f>
        <v>6705.38</v>
      </c>
      <c r="Q20" s="101">
        <f t="shared" ref="Q20:R20" si="11">SUM(Q14:Q19)</f>
        <v>101510.56645833331</v>
      </c>
      <c r="R20" s="101">
        <f t="shared" si="11"/>
        <v>478489.43354166672</v>
      </c>
      <c r="S20" s="115"/>
    </row>
    <row r="21" spans="1:19" s="169" customFormat="1" ht="39.950000000000003" customHeight="1" thickBot="1" x14ac:dyDescent="0.25">
      <c r="A21" s="168"/>
      <c r="B21" s="168"/>
      <c r="C21" s="168"/>
      <c r="D21" s="168"/>
      <c r="E21" s="168"/>
      <c r="F21" s="173"/>
      <c r="G21" s="173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</row>
    <row r="22" spans="1:19" s="115" customFormat="1" ht="39.950000000000003" customHeight="1" thickBot="1" x14ac:dyDescent="0.25">
      <c r="A22" s="150" t="s">
        <v>68</v>
      </c>
      <c r="B22" s="151"/>
      <c r="C22" s="151"/>
      <c r="D22" s="151"/>
      <c r="E22" s="151"/>
      <c r="F22" s="324"/>
      <c r="G22" s="324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</row>
    <row r="23" spans="1:19" s="115" customFormat="1" ht="39.950000000000003" customHeight="1" x14ac:dyDescent="0.2">
      <c r="A23" s="156">
        <f>+A19+1</f>
        <v>9</v>
      </c>
      <c r="B23" s="157" t="s">
        <v>298</v>
      </c>
      <c r="C23" s="130" t="s">
        <v>335</v>
      </c>
      <c r="D23" s="107" t="s">
        <v>502</v>
      </c>
      <c r="E23" s="153" t="s">
        <v>179</v>
      </c>
      <c r="F23" s="174" t="s">
        <v>610</v>
      </c>
      <c r="G23" s="174" t="s">
        <v>640</v>
      </c>
      <c r="H23" s="155">
        <v>180000</v>
      </c>
      <c r="I23" s="118">
        <f>H23*2.87%</f>
        <v>5166</v>
      </c>
      <c r="J23" s="170">
        <f>+H23*3.04%</f>
        <v>5472</v>
      </c>
      <c r="K23" s="118"/>
      <c r="L23" s="116">
        <f>+J23+I23+K23</f>
        <v>10638</v>
      </c>
      <c r="M23" s="116">
        <f>+H23-L23</f>
        <v>169362</v>
      </c>
      <c r="N23" s="116">
        <f>+IF(M23*12&lt;=416220.01,0,IF(M23*12&lt;=624329.01,(((M23*12-416220.01)*0.15)/12),IF((M23*12&lt;=867123.01),(31216+0.2*(M23*12-624329.01))/12,((79776+0.25*(M23*12-867123.01))/12))))-O23</f>
        <v>30923.437291666665</v>
      </c>
      <c r="O23" s="116"/>
      <c r="P23" s="116">
        <v>25</v>
      </c>
      <c r="Q23" s="116">
        <f>+P23+N23+L23</f>
        <v>41586.437291666662</v>
      </c>
      <c r="R23" s="155">
        <f>+H23-Q23</f>
        <v>138413.56270833334</v>
      </c>
    </row>
    <row r="24" spans="1:19" s="111" customFormat="1" ht="39.950000000000003" customHeight="1" x14ac:dyDescent="0.2">
      <c r="A24" s="156">
        <f>+A23+1</f>
        <v>10</v>
      </c>
      <c r="B24" s="157" t="s">
        <v>300</v>
      </c>
      <c r="C24" s="130" t="s">
        <v>335</v>
      </c>
      <c r="D24" s="107" t="s">
        <v>115</v>
      </c>
      <c r="E24" s="153" t="s">
        <v>179</v>
      </c>
      <c r="F24" s="322" t="s">
        <v>624</v>
      </c>
      <c r="G24" s="322" t="s">
        <v>622</v>
      </c>
      <c r="H24" s="155">
        <v>110000</v>
      </c>
      <c r="I24" s="118">
        <f>H24*2.87%</f>
        <v>3157</v>
      </c>
      <c r="J24" s="97">
        <f>+H24*3.04%</f>
        <v>3344</v>
      </c>
      <c r="K24" s="118"/>
      <c r="L24" s="116">
        <f>+J24+I24+K24</f>
        <v>6501</v>
      </c>
      <c r="M24" s="116">
        <f>+H24-L24</f>
        <v>103499</v>
      </c>
      <c r="N24" s="116">
        <f>+IF(M24*12&lt;=416220.01,0,IF(M24*12&lt;=624329.01,(((M24*12-416220.01)*0.15)/12),IF((M24*12&lt;=867123.01),(31216+0.2*(M24*12-624329.01))/12,((79776+0.25*(M24*12-867123.01))/12))))-O24</f>
        <v>14457.687291666667</v>
      </c>
      <c r="O24" s="116"/>
      <c r="P24" s="155">
        <v>225</v>
      </c>
      <c r="Q24" s="116">
        <f>+P24+N24+L24</f>
        <v>21183.687291666669</v>
      </c>
      <c r="R24" s="155">
        <f>+H24-Q24</f>
        <v>88816.312708333338</v>
      </c>
      <c r="S24" s="115"/>
    </row>
    <row r="25" spans="1:19" s="111" customFormat="1" ht="39.950000000000003" customHeight="1" x14ac:dyDescent="0.2">
      <c r="A25" s="156">
        <f>+A24+1</f>
        <v>11</v>
      </c>
      <c r="B25" s="157" t="s">
        <v>456</v>
      </c>
      <c r="C25" s="130" t="s">
        <v>335</v>
      </c>
      <c r="D25" s="107" t="s">
        <v>115</v>
      </c>
      <c r="E25" s="153" t="s">
        <v>179</v>
      </c>
      <c r="F25" s="174" t="s">
        <v>620</v>
      </c>
      <c r="G25" s="174" t="s">
        <v>652</v>
      </c>
      <c r="H25" s="155">
        <v>80000</v>
      </c>
      <c r="I25" s="118">
        <f>H25*2.87%</f>
        <v>2296</v>
      </c>
      <c r="J25" s="118">
        <f>+H25*3.04%</f>
        <v>2432</v>
      </c>
      <c r="K25" s="118"/>
      <c r="L25" s="116">
        <f>+J25+I25+K25</f>
        <v>4728</v>
      </c>
      <c r="M25" s="116">
        <f>+H25-L25</f>
        <v>75272</v>
      </c>
      <c r="N25" s="116">
        <f>+IF(M25*12&lt;=416220.01,0,IF(M25*12&lt;=624329.01,(((M25*12-416220.01)*0.15)/12),IF((M25*12&lt;=867123.01),(31216+0.2*(M25*12-624329.01))/12,((79776+0.25*(M25*12-867123.01))/12))))-O25</f>
        <v>7400.9372916666662</v>
      </c>
      <c r="O25" s="116"/>
      <c r="P25" s="155">
        <f>40+25</f>
        <v>65</v>
      </c>
      <c r="Q25" s="116">
        <f>+P25+N25+L25</f>
        <v>12193.937291666665</v>
      </c>
      <c r="R25" s="155">
        <f>+H25-Q25</f>
        <v>67806.062708333338</v>
      </c>
      <c r="S25" s="115"/>
    </row>
    <row r="26" spans="1:19" s="111" customFormat="1" ht="39.950000000000003" customHeight="1" x14ac:dyDescent="0.2">
      <c r="A26" s="385" t="s">
        <v>99</v>
      </c>
      <c r="B26" s="386"/>
      <c r="C26" s="100"/>
      <c r="D26" s="100"/>
      <c r="E26" s="100"/>
      <c r="F26" s="325"/>
      <c r="G26" s="325"/>
      <c r="H26" s="101">
        <f>SUM(H23:H25)</f>
        <v>370000</v>
      </c>
      <c r="I26" s="101">
        <f t="shared" ref="I26:R26" si="12">SUM(I23:I25)</f>
        <v>10619</v>
      </c>
      <c r="J26" s="101">
        <f t="shared" si="12"/>
        <v>11248</v>
      </c>
      <c r="K26" s="101">
        <f t="shared" si="12"/>
        <v>0</v>
      </c>
      <c r="L26" s="101">
        <f t="shared" si="12"/>
        <v>21867</v>
      </c>
      <c r="M26" s="101">
        <f t="shared" si="12"/>
        <v>348133</v>
      </c>
      <c r="N26" s="101">
        <f t="shared" si="12"/>
        <v>52782.061874999999</v>
      </c>
      <c r="O26" s="101">
        <f t="shared" si="12"/>
        <v>0</v>
      </c>
      <c r="P26" s="101">
        <f t="shared" si="12"/>
        <v>315</v>
      </c>
      <c r="Q26" s="101">
        <f t="shared" si="12"/>
        <v>74964.061874999999</v>
      </c>
      <c r="R26" s="101">
        <f t="shared" si="12"/>
        <v>295035.93812499999</v>
      </c>
      <c r="S26" s="115"/>
    </row>
    <row r="27" spans="1:19" s="169" customFormat="1" ht="39.950000000000003" customHeight="1" thickBot="1" x14ac:dyDescent="0.25">
      <c r="A27" s="168"/>
      <c r="B27" s="168"/>
      <c r="C27" s="168"/>
      <c r="D27" s="168"/>
      <c r="E27" s="168"/>
      <c r="F27" s="173"/>
      <c r="G27" s="173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</row>
    <row r="28" spans="1:19" s="114" customFormat="1" ht="39.950000000000003" customHeight="1" thickBot="1" x14ac:dyDescent="0.25">
      <c r="A28" s="150" t="s">
        <v>301</v>
      </c>
      <c r="B28" s="151"/>
      <c r="C28" s="151"/>
      <c r="D28" s="151"/>
      <c r="E28" s="151"/>
      <c r="F28" s="324"/>
      <c r="G28" s="324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69"/>
    </row>
    <row r="29" spans="1:19" s="114" customFormat="1" ht="39.950000000000003" customHeight="1" x14ac:dyDescent="0.2">
      <c r="A29" s="156">
        <f>+A25+1</f>
        <v>12</v>
      </c>
      <c r="B29" s="141" t="s">
        <v>299</v>
      </c>
      <c r="C29" s="129" t="s">
        <v>335</v>
      </c>
      <c r="D29" s="174" t="s">
        <v>411</v>
      </c>
      <c r="E29" s="174" t="s">
        <v>179</v>
      </c>
      <c r="F29" s="154" t="s">
        <v>599</v>
      </c>
      <c r="G29" s="154" t="s">
        <v>630</v>
      </c>
      <c r="H29" s="162">
        <v>115000</v>
      </c>
      <c r="I29" s="116">
        <f>H29*2.87%</f>
        <v>3300.5</v>
      </c>
      <c r="J29" s="116">
        <f>+H29*3.04%</f>
        <v>3496</v>
      </c>
      <c r="K29" s="116"/>
      <c r="L29" s="116">
        <f t="shared" ref="L29:L34" si="13">+J29+I29+K29</f>
        <v>6796.5</v>
      </c>
      <c r="M29" s="116">
        <f t="shared" ref="M29:M34" si="14">+H29-L29</f>
        <v>108203.5</v>
      </c>
      <c r="N29" s="116">
        <f t="shared" ref="N29:N34" si="15">+IF(M29*12&lt;=416220.01,0,IF(M29*12&lt;=624329.01,(((M29*12-416220.01)*0.15)/12),IF((M29*12&lt;=867123.01),(31216+0.2*(M29*12-624329.01))/12,((79776+0.25*(M29*12-867123.01))/12))))-O29</f>
        <v>15633.812291666667</v>
      </c>
      <c r="O29" s="116"/>
      <c r="P29" s="159">
        <v>24005.75</v>
      </c>
      <c r="Q29" s="116">
        <f t="shared" ref="Q29:Q34" si="16">+P29+N29+L29</f>
        <v>46436.062291666669</v>
      </c>
      <c r="R29" s="159">
        <f t="shared" ref="R29:R34" si="17">+H29-Q29</f>
        <v>68563.937708333338</v>
      </c>
      <c r="S29" s="169"/>
    </row>
    <row r="30" spans="1:19" s="111" customFormat="1" ht="39.950000000000003" customHeight="1" x14ac:dyDescent="0.2">
      <c r="A30" s="156">
        <f>+A29+1</f>
        <v>13</v>
      </c>
      <c r="B30" s="141" t="s">
        <v>181</v>
      </c>
      <c r="C30" s="129" t="s">
        <v>335</v>
      </c>
      <c r="D30" s="174" t="s">
        <v>498</v>
      </c>
      <c r="E30" s="174" t="s">
        <v>179</v>
      </c>
      <c r="F30" s="322" t="s">
        <v>624</v>
      </c>
      <c r="G30" s="322" t="s">
        <v>622</v>
      </c>
      <c r="H30" s="162">
        <v>100000</v>
      </c>
      <c r="I30" s="116">
        <f>H30*2.87%</f>
        <v>2870</v>
      </c>
      <c r="J30" s="118">
        <f>+H30*3.04%</f>
        <v>3040</v>
      </c>
      <c r="K30" s="118">
        <f>1919.78*2</f>
        <v>3839.56</v>
      </c>
      <c r="L30" s="118">
        <f t="shared" si="13"/>
        <v>9749.56</v>
      </c>
      <c r="M30" s="116">
        <f t="shared" si="14"/>
        <v>90250.44</v>
      </c>
      <c r="N30" s="116">
        <v>11145.55</v>
      </c>
      <c r="O30" s="116"/>
      <c r="P30" s="159">
        <v>25</v>
      </c>
      <c r="Q30" s="116">
        <f t="shared" si="16"/>
        <v>20920.11</v>
      </c>
      <c r="R30" s="159">
        <f t="shared" si="17"/>
        <v>79079.89</v>
      </c>
      <c r="S30" s="115"/>
    </row>
    <row r="31" spans="1:19" s="111" customFormat="1" ht="39.950000000000003" customHeight="1" x14ac:dyDescent="0.2">
      <c r="A31" s="156">
        <f>+A30+1</f>
        <v>14</v>
      </c>
      <c r="B31" s="141" t="s">
        <v>497</v>
      </c>
      <c r="C31" s="129" t="s">
        <v>335</v>
      </c>
      <c r="D31" s="174" t="s">
        <v>498</v>
      </c>
      <c r="E31" s="174" t="s">
        <v>179</v>
      </c>
      <c r="F31" s="154" t="s">
        <v>599</v>
      </c>
      <c r="G31" s="154" t="s">
        <v>630</v>
      </c>
      <c r="H31" s="162">
        <v>90000</v>
      </c>
      <c r="I31" s="116">
        <f>H31*2.87%</f>
        <v>2583</v>
      </c>
      <c r="J31" s="116">
        <f>+H31*3.04%</f>
        <v>2736</v>
      </c>
      <c r="K31" s="116">
        <v>1919.78</v>
      </c>
      <c r="L31" s="116">
        <f t="shared" si="13"/>
        <v>7238.78</v>
      </c>
      <c r="M31" s="116">
        <f t="shared" si="14"/>
        <v>82761.22</v>
      </c>
      <c r="N31" s="116">
        <f t="shared" si="15"/>
        <v>9273.2422916666674</v>
      </c>
      <c r="O31" s="116"/>
      <c r="P31" s="159">
        <v>25</v>
      </c>
      <c r="Q31" s="116">
        <f t="shared" si="16"/>
        <v>16537.022291666668</v>
      </c>
      <c r="R31" s="159">
        <f t="shared" si="17"/>
        <v>73462.977708333332</v>
      </c>
      <c r="S31" s="115"/>
    </row>
    <row r="32" spans="1:19" s="169" customFormat="1" ht="39.950000000000003" customHeight="1" x14ac:dyDescent="0.2">
      <c r="A32" s="156">
        <f>+A31+1</f>
        <v>15</v>
      </c>
      <c r="B32" s="141" t="s">
        <v>310</v>
      </c>
      <c r="C32" s="129" t="s">
        <v>336</v>
      </c>
      <c r="D32" s="174" t="s">
        <v>498</v>
      </c>
      <c r="E32" s="174" t="s">
        <v>179</v>
      </c>
      <c r="F32" s="174" t="s">
        <v>609</v>
      </c>
      <c r="G32" s="174" t="s">
        <v>650</v>
      </c>
      <c r="H32" s="162">
        <v>80000</v>
      </c>
      <c r="I32" s="118">
        <f t="shared" ref="I32" si="18">H32*2.87%</f>
        <v>2296</v>
      </c>
      <c r="J32" s="116">
        <f t="shared" ref="J32" si="19">+H32*3.04%</f>
        <v>2432</v>
      </c>
      <c r="K32" s="116"/>
      <c r="L32" s="116">
        <f t="shared" si="13"/>
        <v>4728</v>
      </c>
      <c r="M32" s="116">
        <f t="shared" si="14"/>
        <v>75272</v>
      </c>
      <c r="N32" s="116">
        <v>2723.64</v>
      </c>
      <c r="O32" s="116"/>
      <c r="P32" s="159">
        <v>7182.29</v>
      </c>
      <c r="Q32" s="116">
        <f t="shared" si="16"/>
        <v>14633.93</v>
      </c>
      <c r="R32" s="159">
        <f t="shared" si="17"/>
        <v>65366.07</v>
      </c>
    </row>
    <row r="33" spans="1:19" s="111" customFormat="1" ht="39.950000000000003" customHeight="1" x14ac:dyDescent="0.2">
      <c r="A33" s="156">
        <f>+A32+1</f>
        <v>16</v>
      </c>
      <c r="B33" s="141" t="s">
        <v>556</v>
      </c>
      <c r="C33" s="129" t="s">
        <v>336</v>
      </c>
      <c r="D33" s="174" t="s">
        <v>498</v>
      </c>
      <c r="E33" s="174" t="s">
        <v>179</v>
      </c>
      <c r="F33" s="154" t="s">
        <v>599</v>
      </c>
      <c r="G33" s="154" t="s">
        <v>630</v>
      </c>
      <c r="H33" s="162">
        <v>80000</v>
      </c>
      <c r="I33" s="118">
        <f>H33*2.87%</f>
        <v>2296</v>
      </c>
      <c r="J33" s="118">
        <f>+H33*3.04%</f>
        <v>2432</v>
      </c>
      <c r="K33" s="116"/>
      <c r="L33" s="116">
        <f t="shared" si="13"/>
        <v>4728</v>
      </c>
      <c r="M33" s="116">
        <f t="shared" si="14"/>
        <v>75272</v>
      </c>
      <c r="N33" s="116">
        <f t="shared" si="15"/>
        <v>7400.9372916666662</v>
      </c>
      <c r="O33" s="116"/>
      <c r="P33" s="159">
        <v>25</v>
      </c>
      <c r="Q33" s="116">
        <f t="shared" si="16"/>
        <v>12153.937291666665</v>
      </c>
      <c r="R33" s="159">
        <f t="shared" si="17"/>
        <v>67846.062708333338</v>
      </c>
      <c r="S33" s="115"/>
    </row>
    <row r="34" spans="1:19" s="111" customFormat="1" ht="39.950000000000003" customHeight="1" x14ac:dyDescent="0.2">
      <c r="A34" s="156">
        <f>+A33+1</f>
        <v>17</v>
      </c>
      <c r="B34" s="141" t="s">
        <v>627</v>
      </c>
      <c r="C34" s="129" t="s">
        <v>335</v>
      </c>
      <c r="D34" s="174" t="s">
        <v>498</v>
      </c>
      <c r="E34" s="174" t="s">
        <v>179</v>
      </c>
      <c r="F34" s="154" t="s">
        <v>599</v>
      </c>
      <c r="G34" s="154" t="s">
        <v>630</v>
      </c>
      <c r="H34" s="162">
        <v>80000</v>
      </c>
      <c r="I34" s="118">
        <f>H34*2.87%</f>
        <v>2296</v>
      </c>
      <c r="J34" s="118">
        <f>+H34*3.04%</f>
        <v>2432</v>
      </c>
      <c r="K34" s="116"/>
      <c r="L34" s="116">
        <f t="shared" si="13"/>
        <v>4728</v>
      </c>
      <c r="M34" s="116">
        <f t="shared" si="14"/>
        <v>75272</v>
      </c>
      <c r="N34" s="116">
        <f t="shared" si="15"/>
        <v>7400.9372916666662</v>
      </c>
      <c r="O34" s="116"/>
      <c r="P34" s="159">
        <v>25</v>
      </c>
      <c r="Q34" s="116">
        <f t="shared" si="16"/>
        <v>12153.937291666665</v>
      </c>
      <c r="R34" s="159">
        <f t="shared" si="17"/>
        <v>67846.062708333338</v>
      </c>
      <c r="S34" s="115"/>
    </row>
    <row r="35" spans="1:19" s="114" customFormat="1" ht="39.950000000000003" customHeight="1" x14ac:dyDescent="0.2">
      <c r="A35" s="385" t="s">
        <v>99</v>
      </c>
      <c r="B35" s="386"/>
      <c r="C35" s="100"/>
      <c r="D35" s="100"/>
      <c r="E35" s="100"/>
      <c r="F35" s="325"/>
      <c r="G35" s="325"/>
      <c r="H35" s="101">
        <f t="shared" ref="H35:Q35" si="20">SUM(H29:H34)</f>
        <v>545000</v>
      </c>
      <c r="I35" s="101">
        <f t="shared" si="20"/>
        <v>15641.5</v>
      </c>
      <c r="J35" s="101">
        <f t="shared" si="20"/>
        <v>16568</v>
      </c>
      <c r="K35" s="101">
        <f t="shared" si="20"/>
        <v>5759.34</v>
      </c>
      <c r="L35" s="101">
        <f t="shared" si="20"/>
        <v>37968.839999999997</v>
      </c>
      <c r="M35" s="101">
        <f t="shared" si="20"/>
        <v>507031.16000000003</v>
      </c>
      <c r="N35" s="101">
        <f t="shared" si="20"/>
        <v>53578.119166666671</v>
      </c>
      <c r="O35" s="101">
        <f t="shared" si="20"/>
        <v>0</v>
      </c>
      <c r="P35" s="101">
        <f t="shared" si="20"/>
        <v>31288.04</v>
      </c>
      <c r="Q35" s="101">
        <f t="shared" si="20"/>
        <v>122834.99916666668</v>
      </c>
      <c r="R35" s="101">
        <f>SUM(R29:R34)</f>
        <v>422165.00083333335</v>
      </c>
      <c r="S35" s="169"/>
    </row>
    <row r="36" spans="1:19" s="111" customFormat="1" ht="39.950000000000003" customHeight="1" thickBot="1" x14ac:dyDescent="0.25">
      <c r="A36" s="168"/>
      <c r="B36" s="168"/>
      <c r="C36" s="168"/>
      <c r="D36" s="168"/>
      <c r="E36" s="168"/>
      <c r="F36" s="173"/>
      <c r="G36" s="173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5"/>
    </row>
    <row r="37" spans="1:19" s="169" customFormat="1" ht="39.950000000000003" customHeight="1" thickBot="1" x14ac:dyDescent="0.25">
      <c r="A37" s="150" t="s">
        <v>70</v>
      </c>
      <c r="B37" s="151"/>
      <c r="C37" s="151"/>
      <c r="D37" s="151"/>
      <c r="E37" s="151"/>
      <c r="F37" s="324"/>
      <c r="G37" s="324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</row>
    <row r="38" spans="1:19" s="114" customFormat="1" ht="39.950000000000003" customHeight="1" x14ac:dyDescent="0.2">
      <c r="A38" s="152">
        <f>+A34+1</f>
        <v>18</v>
      </c>
      <c r="B38" s="163" t="s">
        <v>344</v>
      </c>
      <c r="C38" s="152" t="s">
        <v>336</v>
      </c>
      <c r="D38" s="107" t="s">
        <v>238</v>
      </c>
      <c r="E38" s="153" t="s">
        <v>179</v>
      </c>
      <c r="F38" s="174" t="s">
        <v>610</v>
      </c>
      <c r="G38" s="174" t="s">
        <v>640</v>
      </c>
      <c r="H38" s="116">
        <v>90000</v>
      </c>
      <c r="I38" s="116">
        <f>H38*2.87%</f>
        <v>2583</v>
      </c>
      <c r="J38" s="116">
        <f>+H38*3.04%</f>
        <v>2736</v>
      </c>
      <c r="K38" s="116"/>
      <c r="L38" s="116">
        <f>+J38+I38+K38</f>
        <v>5319</v>
      </c>
      <c r="M38" s="116">
        <f t="shared" ref="M38:M44" si="21">+H38-L38</f>
        <v>84681</v>
      </c>
      <c r="N38" s="116">
        <f t="shared" ref="N38:N44" si="22">+IF(M38*12&lt;=416220.01,0,IF(M38*12&lt;=624329.01,(((M38*12-416220.01)*0.15)/12),IF((M38*12&lt;=867123.01),(31216+0.2*(M38*12-624329.01))/12,((79776+0.25*(M38*12-867123.01))/12))))-O38</f>
        <v>9753.1872916666671</v>
      </c>
      <c r="O38" s="116"/>
      <c r="P38" s="159">
        <v>225</v>
      </c>
      <c r="Q38" s="116">
        <f>+P38+N38+L38</f>
        <v>15297.187291666667</v>
      </c>
      <c r="R38" s="155">
        <f t="shared" ref="R38:R44" si="23">+H38-Q38</f>
        <v>74702.812708333338</v>
      </c>
      <c r="S38" s="169"/>
    </row>
    <row r="39" spans="1:19" s="114" customFormat="1" ht="39.950000000000003" customHeight="1" x14ac:dyDescent="0.2">
      <c r="A39" s="152">
        <f t="shared" ref="A39:A43" si="24">+A38+1</f>
        <v>19</v>
      </c>
      <c r="B39" s="163" t="s">
        <v>388</v>
      </c>
      <c r="C39" s="152" t="s">
        <v>336</v>
      </c>
      <c r="D39" s="107" t="s">
        <v>238</v>
      </c>
      <c r="E39" s="153" t="s">
        <v>179</v>
      </c>
      <c r="F39" s="154" t="s">
        <v>599</v>
      </c>
      <c r="G39" s="154" t="s">
        <v>630</v>
      </c>
      <c r="H39" s="116">
        <v>80000</v>
      </c>
      <c r="I39" s="116">
        <f>H39*2.87%</f>
        <v>2296</v>
      </c>
      <c r="J39" s="116">
        <f>+H39*3.04%</f>
        <v>2432</v>
      </c>
      <c r="K39" s="116"/>
      <c r="L39" s="116">
        <f>+J39+I39+K39</f>
        <v>4728</v>
      </c>
      <c r="M39" s="116">
        <f t="shared" si="21"/>
        <v>75272</v>
      </c>
      <c r="N39" s="116">
        <v>3451.93</v>
      </c>
      <c r="O39" s="116">
        <v>0</v>
      </c>
      <c r="P39" s="159">
        <v>2790.29</v>
      </c>
      <c r="Q39" s="116">
        <f>+P39+N39+L39</f>
        <v>10970.22</v>
      </c>
      <c r="R39" s="155">
        <f t="shared" si="23"/>
        <v>69029.78</v>
      </c>
      <c r="S39" s="169"/>
    </row>
    <row r="40" spans="1:19" s="114" customFormat="1" ht="39.950000000000003" customHeight="1" x14ac:dyDescent="0.2">
      <c r="A40" s="152">
        <f t="shared" si="24"/>
        <v>20</v>
      </c>
      <c r="B40" s="163" t="s">
        <v>472</v>
      </c>
      <c r="C40" s="152" t="s">
        <v>335</v>
      </c>
      <c r="D40" s="107" t="s">
        <v>238</v>
      </c>
      <c r="E40" s="153" t="s">
        <v>179</v>
      </c>
      <c r="F40" s="174" t="s">
        <v>635</v>
      </c>
      <c r="G40" s="174" t="s">
        <v>662</v>
      </c>
      <c r="H40" s="116">
        <v>80000</v>
      </c>
      <c r="I40" s="116">
        <f>H40*2.87%</f>
        <v>2296</v>
      </c>
      <c r="J40" s="116">
        <f>+H40*3.04%</f>
        <v>2432</v>
      </c>
      <c r="K40" s="116"/>
      <c r="L40" s="116">
        <f>+J40+I40+K40</f>
        <v>4728</v>
      </c>
      <c r="M40" s="116">
        <f t="shared" si="21"/>
        <v>75272</v>
      </c>
      <c r="N40" s="116">
        <f t="shared" si="22"/>
        <v>7400.9372916666662</v>
      </c>
      <c r="O40" s="116"/>
      <c r="P40" s="159">
        <v>65</v>
      </c>
      <c r="Q40" s="116">
        <f>+P40+N40+L40</f>
        <v>12193.937291666665</v>
      </c>
      <c r="R40" s="155">
        <f t="shared" si="23"/>
        <v>67806.062708333338</v>
      </c>
      <c r="S40" s="169"/>
    </row>
    <row r="41" spans="1:19" s="169" customFormat="1" ht="39.950000000000003" customHeight="1" x14ac:dyDescent="0.2">
      <c r="A41" s="156">
        <f t="shared" si="24"/>
        <v>21</v>
      </c>
      <c r="B41" s="163" t="s">
        <v>455</v>
      </c>
      <c r="C41" s="134" t="s">
        <v>336</v>
      </c>
      <c r="D41" s="107" t="s">
        <v>238</v>
      </c>
      <c r="E41" s="153" t="s">
        <v>179</v>
      </c>
      <c r="F41" s="154" t="s">
        <v>599</v>
      </c>
      <c r="G41" s="154" t="s">
        <v>630</v>
      </c>
      <c r="H41" s="118">
        <v>80000</v>
      </c>
      <c r="I41" s="118">
        <f t="shared" ref="I41:I44" si="25">H41*2.87%</f>
        <v>2296</v>
      </c>
      <c r="J41" s="118">
        <f t="shared" ref="J41:J44" si="26">+H41*3.04%</f>
        <v>2432</v>
      </c>
      <c r="K41" s="118"/>
      <c r="L41" s="116">
        <f>+I41+J41+K41</f>
        <v>4728</v>
      </c>
      <c r="M41" s="116">
        <f t="shared" si="21"/>
        <v>75272</v>
      </c>
      <c r="N41" s="116">
        <f t="shared" si="22"/>
        <v>7400.9372916666662</v>
      </c>
      <c r="O41" s="116"/>
      <c r="P41" s="159">
        <v>8290.2900000000009</v>
      </c>
      <c r="Q41" s="118">
        <f>+P41+K41+J41+I41+N41</f>
        <v>20419.227291666666</v>
      </c>
      <c r="R41" s="155">
        <f t="shared" si="23"/>
        <v>59580.77270833333</v>
      </c>
    </row>
    <row r="42" spans="1:19" s="169" customFormat="1" ht="39.950000000000003" customHeight="1" x14ac:dyDescent="0.2">
      <c r="A42" s="156">
        <f t="shared" si="24"/>
        <v>22</v>
      </c>
      <c r="B42" s="163" t="s">
        <v>597</v>
      </c>
      <c r="C42" s="134" t="s">
        <v>336</v>
      </c>
      <c r="D42" s="107" t="s">
        <v>238</v>
      </c>
      <c r="E42" s="153" t="s">
        <v>179</v>
      </c>
      <c r="F42" s="154" t="s">
        <v>599</v>
      </c>
      <c r="G42" s="154" t="s">
        <v>630</v>
      </c>
      <c r="H42" s="118">
        <v>80000</v>
      </c>
      <c r="I42" s="118">
        <f t="shared" si="25"/>
        <v>2296</v>
      </c>
      <c r="J42" s="118">
        <f t="shared" si="26"/>
        <v>2432</v>
      </c>
      <c r="K42" s="118"/>
      <c r="L42" s="116">
        <f>+I42+J42+K42</f>
        <v>4728</v>
      </c>
      <c r="M42" s="116">
        <f t="shared" si="21"/>
        <v>75272</v>
      </c>
      <c r="N42" s="116">
        <v>0</v>
      </c>
      <c r="O42" s="116"/>
      <c r="P42" s="159">
        <v>3290.29</v>
      </c>
      <c r="Q42" s="118">
        <f>+P42+K42+J42+I42+N42</f>
        <v>8018.29</v>
      </c>
      <c r="R42" s="155">
        <f t="shared" si="23"/>
        <v>71981.710000000006</v>
      </c>
    </row>
    <row r="43" spans="1:19" s="169" customFormat="1" ht="39.950000000000003" customHeight="1" x14ac:dyDescent="0.2">
      <c r="A43" s="156">
        <f t="shared" si="24"/>
        <v>23</v>
      </c>
      <c r="B43" s="163" t="s">
        <v>598</v>
      </c>
      <c r="C43" s="134" t="s">
        <v>336</v>
      </c>
      <c r="D43" s="107" t="s">
        <v>238</v>
      </c>
      <c r="E43" s="153" t="s">
        <v>179</v>
      </c>
      <c r="F43" s="154" t="s">
        <v>599</v>
      </c>
      <c r="G43" s="154" t="s">
        <v>630</v>
      </c>
      <c r="H43" s="118">
        <v>80000</v>
      </c>
      <c r="I43" s="118">
        <f t="shared" si="25"/>
        <v>2296</v>
      </c>
      <c r="J43" s="118">
        <f t="shared" si="26"/>
        <v>2432</v>
      </c>
      <c r="K43" s="118"/>
      <c r="L43" s="116">
        <f>+I43+J43+K43</f>
        <v>4728</v>
      </c>
      <c r="M43" s="116">
        <f t="shared" si="21"/>
        <v>75272</v>
      </c>
      <c r="N43" s="116">
        <f t="shared" si="22"/>
        <v>7400.9372916666662</v>
      </c>
      <c r="O43" s="116"/>
      <c r="P43" s="159">
        <v>25</v>
      </c>
      <c r="Q43" s="118">
        <f>+P43+K43+J43+I43+N43</f>
        <v>12153.937291666665</v>
      </c>
      <c r="R43" s="155">
        <f t="shared" si="23"/>
        <v>67846.062708333338</v>
      </c>
    </row>
    <row r="44" spans="1:19" s="169" customFormat="1" ht="39.950000000000003" customHeight="1" x14ac:dyDescent="0.2">
      <c r="A44" s="156">
        <f>+A43+1</f>
        <v>24</v>
      </c>
      <c r="B44" s="163" t="s">
        <v>618</v>
      </c>
      <c r="C44" s="134" t="s">
        <v>336</v>
      </c>
      <c r="D44" s="107" t="s">
        <v>238</v>
      </c>
      <c r="E44" s="153" t="s">
        <v>179</v>
      </c>
      <c r="F44" s="174" t="s">
        <v>620</v>
      </c>
      <c r="G44" s="174" t="s">
        <v>652</v>
      </c>
      <c r="H44" s="118">
        <v>80000</v>
      </c>
      <c r="I44" s="118">
        <f t="shared" si="25"/>
        <v>2296</v>
      </c>
      <c r="J44" s="118">
        <f t="shared" si="26"/>
        <v>2432</v>
      </c>
      <c r="K44" s="118"/>
      <c r="L44" s="116">
        <f>+I44+J44+K44</f>
        <v>4728</v>
      </c>
      <c r="M44" s="116">
        <f t="shared" si="21"/>
        <v>75272</v>
      </c>
      <c r="N44" s="116">
        <f t="shared" si="22"/>
        <v>7400.9372916666662</v>
      </c>
      <c r="O44" s="116"/>
      <c r="P44" s="159">
        <v>5290.29</v>
      </c>
      <c r="Q44" s="118">
        <f>+P44+K44+J44+I44+N44</f>
        <v>17419.227291666666</v>
      </c>
      <c r="R44" s="155">
        <f t="shared" si="23"/>
        <v>62580.77270833333</v>
      </c>
    </row>
    <row r="45" spans="1:19" s="111" customFormat="1" ht="39.950000000000003" customHeight="1" x14ac:dyDescent="0.2">
      <c r="A45" s="385" t="s">
        <v>99</v>
      </c>
      <c r="B45" s="386"/>
      <c r="C45" s="100"/>
      <c r="D45" s="100"/>
      <c r="E45" s="100"/>
      <c r="F45" s="325"/>
      <c r="G45" s="325"/>
      <c r="H45" s="101">
        <f>SUM(H38:H44)</f>
        <v>570000</v>
      </c>
      <c r="I45" s="101">
        <f t="shared" ref="I45:R45" si="27">SUM(I38:I44)</f>
        <v>16359</v>
      </c>
      <c r="J45" s="101">
        <f t="shared" si="27"/>
        <v>17328</v>
      </c>
      <c r="K45" s="101">
        <f t="shared" si="27"/>
        <v>0</v>
      </c>
      <c r="L45" s="101">
        <f t="shared" si="27"/>
        <v>33687</v>
      </c>
      <c r="M45" s="101">
        <f t="shared" si="27"/>
        <v>536313</v>
      </c>
      <c r="N45" s="101">
        <f t="shared" si="27"/>
        <v>42808.866458333338</v>
      </c>
      <c r="O45" s="101">
        <f t="shared" si="27"/>
        <v>0</v>
      </c>
      <c r="P45" s="101">
        <f>SUM(P38:P44)</f>
        <v>19976.160000000003</v>
      </c>
      <c r="Q45" s="101">
        <f>SUM(Q38:Q44)</f>
        <v>96472.026458333319</v>
      </c>
      <c r="R45" s="101">
        <f t="shared" si="27"/>
        <v>473527.97354166664</v>
      </c>
      <c r="S45" s="115"/>
    </row>
    <row r="46" spans="1:19" s="169" customFormat="1" ht="39.950000000000003" customHeight="1" thickBot="1" x14ac:dyDescent="0.25">
      <c r="A46" s="168"/>
      <c r="B46" s="168"/>
      <c r="C46" s="168"/>
      <c r="D46" s="168"/>
      <c r="E46" s="168"/>
      <c r="F46" s="173"/>
      <c r="G46" s="173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</row>
    <row r="47" spans="1:19" s="114" customFormat="1" ht="39.950000000000003" customHeight="1" thickBot="1" x14ac:dyDescent="0.25">
      <c r="A47" s="171" t="s">
        <v>148</v>
      </c>
      <c r="B47" s="172"/>
      <c r="C47" s="172"/>
      <c r="D47" s="172"/>
      <c r="E47" s="172"/>
      <c r="F47" s="185"/>
      <c r="G47" s="185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69"/>
    </row>
    <row r="48" spans="1:19" s="114" customFormat="1" ht="39.950000000000003" customHeight="1" x14ac:dyDescent="0.2">
      <c r="A48" s="152">
        <f>+A44+1</f>
        <v>25</v>
      </c>
      <c r="B48" s="163" t="s">
        <v>402</v>
      </c>
      <c r="C48" s="152" t="s">
        <v>336</v>
      </c>
      <c r="D48" s="153" t="s">
        <v>105</v>
      </c>
      <c r="E48" s="153" t="s">
        <v>179</v>
      </c>
      <c r="F48" s="322" t="s">
        <v>554</v>
      </c>
      <c r="G48" s="322" t="s">
        <v>623</v>
      </c>
      <c r="H48" s="105">
        <v>70000</v>
      </c>
      <c r="I48" s="105">
        <f>H48*2.87%</f>
        <v>2009</v>
      </c>
      <c r="J48" s="105">
        <f>+H48*3.04%</f>
        <v>2128</v>
      </c>
      <c r="K48" s="105"/>
      <c r="L48" s="116">
        <f>+J48+I48+K48</f>
        <v>4137</v>
      </c>
      <c r="M48" s="116">
        <f>+H48-L48</f>
        <v>65863</v>
      </c>
      <c r="N48" s="116">
        <f t="shared" ref="N48" si="28">+IF(M48*12&lt;=416220.01,0,IF(M48*12&lt;=624329.01,(((M48*12-416220.01)*0.15)/12),IF((M48*12&lt;=867123.01),(31216+0.2*(M48*12-624329.01))/12,((79776+0.25*(M48*12-867123.01))/12))))-O48</f>
        <v>5368.4498333333331</v>
      </c>
      <c r="O48" s="116"/>
      <c r="P48" s="162">
        <v>5176.41</v>
      </c>
      <c r="Q48" s="116">
        <f>+P48+N48+L48</f>
        <v>14681.859833333332</v>
      </c>
      <c r="R48" s="155">
        <f>+H48-Q48</f>
        <v>55318.140166666664</v>
      </c>
      <c r="S48" s="169"/>
    </row>
    <row r="49" spans="1:19" s="111" customFormat="1" ht="39.950000000000003" customHeight="1" thickBot="1" x14ac:dyDescent="0.25">
      <c r="A49" s="385" t="s">
        <v>99</v>
      </c>
      <c r="B49" s="386"/>
      <c r="C49" s="182"/>
      <c r="D49" s="182"/>
      <c r="E49" s="182"/>
      <c r="F49" s="326"/>
      <c r="G49" s="327"/>
      <c r="H49" s="101">
        <f t="shared" ref="H49:R49" si="29">SUM(H48:H48)</f>
        <v>70000</v>
      </c>
      <c r="I49" s="101">
        <f t="shared" si="29"/>
        <v>2009</v>
      </c>
      <c r="J49" s="101">
        <f t="shared" si="29"/>
        <v>2128</v>
      </c>
      <c r="K49" s="101">
        <f t="shared" si="29"/>
        <v>0</v>
      </c>
      <c r="L49" s="101">
        <f t="shared" si="29"/>
        <v>4137</v>
      </c>
      <c r="M49" s="101">
        <f t="shared" si="29"/>
        <v>65863</v>
      </c>
      <c r="N49" s="101">
        <f t="shared" si="29"/>
        <v>5368.4498333333331</v>
      </c>
      <c r="O49" s="101">
        <f t="shared" si="29"/>
        <v>0</v>
      </c>
      <c r="P49" s="101">
        <f t="shared" si="29"/>
        <v>5176.41</v>
      </c>
      <c r="Q49" s="101">
        <f t="shared" si="29"/>
        <v>14681.859833333332</v>
      </c>
      <c r="R49" s="101">
        <f t="shared" si="29"/>
        <v>55318.140166666664</v>
      </c>
      <c r="S49" s="115"/>
    </row>
    <row r="50" spans="1:19" s="111" customFormat="1" ht="39.950000000000003" customHeight="1" thickBot="1" x14ac:dyDescent="0.25">
      <c r="A50" s="171" t="s">
        <v>123</v>
      </c>
      <c r="B50" s="172"/>
      <c r="C50" s="172"/>
      <c r="D50" s="172"/>
      <c r="E50" s="172"/>
      <c r="F50" s="185"/>
      <c r="G50" s="185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15"/>
    </row>
    <row r="51" spans="1:19" s="169" customFormat="1" ht="39.950000000000003" customHeight="1" x14ac:dyDescent="0.2">
      <c r="A51" s="156">
        <f>+A48+1</f>
        <v>26</v>
      </c>
      <c r="B51" s="163" t="s">
        <v>180</v>
      </c>
      <c r="C51" s="134" t="s">
        <v>336</v>
      </c>
      <c r="D51" s="107" t="s">
        <v>574</v>
      </c>
      <c r="E51" s="153" t="s">
        <v>179</v>
      </c>
      <c r="F51" s="322" t="s">
        <v>624</v>
      </c>
      <c r="G51" s="322" t="s">
        <v>623</v>
      </c>
      <c r="H51" s="118">
        <v>85000</v>
      </c>
      <c r="I51" s="118">
        <f>H51*2.87%</f>
        <v>2439.5</v>
      </c>
      <c r="J51" s="118">
        <f>+H51*3.04%</f>
        <v>2584</v>
      </c>
      <c r="K51" s="118"/>
      <c r="L51" s="116">
        <f>+J51+I51+K51</f>
        <v>5023.5</v>
      </c>
      <c r="M51" s="116">
        <f>+H51-L51</f>
        <v>79976.5</v>
      </c>
      <c r="N51" s="116">
        <f>+IF(M51*12&lt;=416220.01,0,IF(M51*12&lt;=624329.01,(((M51*12-416220.01)*0.15)/12),IF((M51*12&lt;=867123.01),(31216+0.2*(M51*12-624329.01))/12,((79776+0.25*(M51*12-867123.01))/12))))-O51</f>
        <v>8577.0622916666671</v>
      </c>
      <c r="O51" s="116"/>
      <c r="P51" s="155">
        <v>3952.08</v>
      </c>
      <c r="Q51" s="118">
        <f>+P51+N51+L51</f>
        <v>17552.642291666667</v>
      </c>
      <c r="R51" s="155">
        <f>+H51-Q51</f>
        <v>67447.357708333337</v>
      </c>
    </row>
    <row r="52" spans="1:19" s="169" customFormat="1" ht="39.950000000000003" customHeight="1" x14ac:dyDescent="0.2">
      <c r="A52" s="156">
        <f>+A51+1</f>
        <v>27</v>
      </c>
      <c r="B52" s="163" t="s">
        <v>511</v>
      </c>
      <c r="C52" s="134" t="s">
        <v>335</v>
      </c>
      <c r="D52" s="107" t="s">
        <v>580</v>
      </c>
      <c r="E52" s="153" t="s">
        <v>179</v>
      </c>
      <c r="F52" s="174" t="s">
        <v>609</v>
      </c>
      <c r="G52" s="174" t="s">
        <v>650</v>
      </c>
      <c r="H52" s="118">
        <v>80000</v>
      </c>
      <c r="I52" s="118">
        <f>H52*2.87%</f>
        <v>2296</v>
      </c>
      <c r="J52" s="118">
        <f>+H52*3.04%</f>
        <v>2432</v>
      </c>
      <c r="K52" s="118"/>
      <c r="L52" s="116">
        <f>+J52+I52+K52</f>
        <v>4728</v>
      </c>
      <c r="M52" s="116">
        <f>+H52-L52</f>
        <v>75272</v>
      </c>
      <c r="N52" s="116">
        <f>+IF(M52*12&lt;=416220.01,0,IF(M52*12&lt;=624329.01,(((M52*12-416220.01)*0.15)/12),IF((M52*12&lt;=867123.01),(31216+0.2*(M52*12-624329.01))/12,((79776+0.25*(M52*12-867123.01))/12))))-O52</f>
        <v>7400.9372916666662</v>
      </c>
      <c r="O52" s="116"/>
      <c r="P52" s="155">
        <f>125+100</f>
        <v>225</v>
      </c>
      <c r="Q52" s="118">
        <f>+P52+N52+L52</f>
        <v>12353.937291666665</v>
      </c>
      <c r="R52" s="155">
        <f>+H52-Q52</f>
        <v>67646.062708333338</v>
      </c>
    </row>
    <row r="53" spans="1:19" s="114" customFormat="1" ht="39.950000000000003" customHeight="1" x14ac:dyDescent="0.2">
      <c r="A53" s="385" t="s">
        <v>99</v>
      </c>
      <c r="B53" s="386"/>
      <c r="C53" s="100"/>
      <c r="D53" s="100"/>
      <c r="E53" s="100"/>
      <c r="F53" s="325"/>
      <c r="G53" s="325"/>
      <c r="H53" s="101">
        <f>SUM(H51:H52)</f>
        <v>165000</v>
      </c>
      <c r="I53" s="101">
        <f t="shared" ref="I53:R53" si="30">SUM(I51:I52)</f>
        <v>4735.5</v>
      </c>
      <c r="J53" s="101">
        <f t="shared" si="30"/>
        <v>5016</v>
      </c>
      <c r="K53" s="101">
        <f t="shared" si="30"/>
        <v>0</v>
      </c>
      <c r="L53" s="101">
        <f t="shared" si="30"/>
        <v>9751.5</v>
      </c>
      <c r="M53" s="101">
        <f t="shared" si="30"/>
        <v>155248.5</v>
      </c>
      <c r="N53" s="101">
        <f t="shared" si="30"/>
        <v>15977.999583333334</v>
      </c>
      <c r="O53" s="101">
        <f t="shared" si="30"/>
        <v>0</v>
      </c>
      <c r="P53" s="101">
        <f t="shared" si="30"/>
        <v>4177.08</v>
      </c>
      <c r="Q53" s="101">
        <f t="shared" si="30"/>
        <v>29906.579583333332</v>
      </c>
      <c r="R53" s="101">
        <f t="shared" si="30"/>
        <v>135093.42041666666</v>
      </c>
      <c r="S53" s="169"/>
    </row>
    <row r="54" spans="1:19" s="114" customFormat="1" ht="39.950000000000003" customHeight="1" thickBot="1" x14ac:dyDescent="0.25">
      <c r="A54" s="168"/>
      <c r="B54" s="168"/>
      <c r="C54" s="168"/>
      <c r="D54" s="168"/>
      <c r="E54" s="168"/>
      <c r="F54" s="173"/>
      <c r="G54" s="173"/>
      <c r="S54" s="169"/>
    </row>
    <row r="55" spans="1:19" s="114" customFormat="1" ht="39.950000000000003" customHeight="1" thickBot="1" x14ac:dyDescent="0.25">
      <c r="A55" s="171" t="s">
        <v>124</v>
      </c>
      <c r="B55" s="172"/>
      <c r="C55" s="172"/>
      <c r="D55" s="172"/>
      <c r="E55" s="172"/>
      <c r="F55" s="185"/>
      <c r="G55" s="185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69"/>
    </row>
    <row r="56" spans="1:19" s="114" customFormat="1" ht="39.950000000000003" customHeight="1" x14ac:dyDescent="0.2">
      <c r="A56" s="301">
        <f>+A52+1</f>
        <v>28</v>
      </c>
      <c r="B56" s="140" t="s">
        <v>343</v>
      </c>
      <c r="C56" s="135" t="s">
        <v>336</v>
      </c>
      <c r="D56" s="153" t="s">
        <v>642</v>
      </c>
      <c r="E56" s="153" t="s">
        <v>179</v>
      </c>
      <c r="F56" s="174" t="s">
        <v>610</v>
      </c>
      <c r="G56" s="174" t="s">
        <v>640</v>
      </c>
      <c r="H56" s="117">
        <v>155000</v>
      </c>
      <c r="I56" s="116">
        <f>H56*2.87%</f>
        <v>4448.5</v>
      </c>
      <c r="J56" s="118">
        <f>+H56*3.04%</f>
        <v>4712</v>
      </c>
      <c r="K56" s="118"/>
      <c r="L56" s="118">
        <f>+J56+I56+K56</f>
        <v>9160.5</v>
      </c>
      <c r="M56" s="116">
        <f>+H56-L56</f>
        <v>145839.5</v>
      </c>
      <c r="N56" s="116">
        <f>+IF(M56*12&lt;=416220.01,0,IF(M56*12&lt;=624329.01,(((M56*12-416220.01)*0.15)/12),IF((M56*12&lt;=867123.01),(31216+0.2*(M56*12-624329.01))/12,((79776+0.25*(M56*12-867123.01))/12))))</f>
        <v>25042.812291666665</v>
      </c>
      <c r="O56" s="116"/>
      <c r="P56" s="159">
        <v>3490.29</v>
      </c>
      <c r="Q56" s="116">
        <f>+P56+N56+L56</f>
        <v>37693.60229166667</v>
      </c>
      <c r="R56" s="159">
        <f>+H56-Q56</f>
        <v>117306.39770833333</v>
      </c>
      <c r="S56" s="169"/>
    </row>
    <row r="57" spans="1:19" s="114" customFormat="1" ht="39.950000000000003" customHeight="1" x14ac:dyDescent="0.2">
      <c r="A57" s="301">
        <f>+A56+1</f>
        <v>29</v>
      </c>
      <c r="B57" s="310" t="s">
        <v>579</v>
      </c>
      <c r="C57" s="135" t="s">
        <v>336</v>
      </c>
      <c r="D57" s="153" t="s">
        <v>580</v>
      </c>
      <c r="E57" s="107" t="s">
        <v>179</v>
      </c>
      <c r="F57" s="174" t="s">
        <v>620</v>
      </c>
      <c r="G57" s="174" t="s">
        <v>652</v>
      </c>
      <c r="H57" s="159">
        <v>80000</v>
      </c>
      <c r="I57" s="118">
        <f>H57*2.87%</f>
        <v>2296</v>
      </c>
      <c r="J57" s="118">
        <f>+H57*3.04%</f>
        <v>2432</v>
      </c>
      <c r="K57" s="118"/>
      <c r="L57" s="116">
        <f>+J57+I57+K57</f>
        <v>4728</v>
      </c>
      <c r="M57" s="116">
        <f>+H57-L57</f>
        <v>75272</v>
      </c>
      <c r="N57" s="116">
        <v>0</v>
      </c>
      <c r="O57" s="116"/>
      <c r="P57" s="155">
        <v>25</v>
      </c>
      <c r="Q57" s="116">
        <f>+P57+N57+L57</f>
        <v>4753</v>
      </c>
      <c r="R57" s="155">
        <f>+H57-Q57</f>
        <v>75247</v>
      </c>
      <c r="S57" s="169"/>
    </row>
    <row r="58" spans="1:19" s="114" customFormat="1" ht="39.950000000000003" customHeight="1" x14ac:dyDescent="0.2">
      <c r="A58" s="385" t="s">
        <v>99</v>
      </c>
      <c r="B58" s="386"/>
      <c r="C58" s="100"/>
      <c r="D58" s="100"/>
      <c r="E58" s="100"/>
      <c r="F58" s="325"/>
      <c r="G58" s="325"/>
      <c r="H58" s="101">
        <f t="shared" ref="H58:R58" si="31">SUM(H56:H57)</f>
        <v>235000</v>
      </c>
      <c r="I58" s="101">
        <f t="shared" si="31"/>
        <v>6744.5</v>
      </c>
      <c r="J58" s="101">
        <f t="shared" si="31"/>
        <v>7144</v>
      </c>
      <c r="K58" s="101">
        <f t="shared" si="31"/>
        <v>0</v>
      </c>
      <c r="L58" s="101">
        <f t="shared" si="31"/>
        <v>13888.5</v>
      </c>
      <c r="M58" s="101">
        <f t="shared" si="31"/>
        <v>221111.5</v>
      </c>
      <c r="N58" s="101">
        <f t="shared" si="31"/>
        <v>25042.812291666665</v>
      </c>
      <c r="O58" s="101">
        <f t="shared" si="31"/>
        <v>0</v>
      </c>
      <c r="P58" s="101">
        <f t="shared" si="31"/>
        <v>3515.29</v>
      </c>
      <c r="Q58" s="101">
        <f t="shared" si="31"/>
        <v>42446.60229166667</v>
      </c>
      <c r="R58" s="101">
        <f t="shared" si="31"/>
        <v>192553.39770833333</v>
      </c>
      <c r="S58" s="169"/>
    </row>
    <row r="59" spans="1:19" s="114" customFormat="1" ht="39.950000000000003" customHeight="1" thickBot="1" x14ac:dyDescent="0.25">
      <c r="A59" s="168"/>
      <c r="B59" s="168"/>
      <c r="C59" s="168"/>
      <c r="D59" s="168"/>
      <c r="E59" s="168"/>
      <c r="F59" s="173"/>
      <c r="G59" s="173"/>
      <c r="S59" s="169"/>
    </row>
    <row r="60" spans="1:19" s="114" customFormat="1" ht="39.950000000000003" customHeight="1" thickBot="1" x14ac:dyDescent="0.25">
      <c r="A60" s="150" t="s">
        <v>125</v>
      </c>
      <c r="B60" s="151"/>
      <c r="C60" s="151"/>
      <c r="D60" s="151"/>
      <c r="E60" s="151"/>
      <c r="F60" s="324"/>
      <c r="G60" s="324"/>
      <c r="H60" s="151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69"/>
    </row>
    <row r="61" spans="1:19" s="114" customFormat="1" ht="39.950000000000003" customHeight="1" x14ac:dyDescent="0.2">
      <c r="A61" s="175">
        <f>+A57+1</f>
        <v>30</v>
      </c>
      <c r="B61" s="176" t="s">
        <v>467</v>
      </c>
      <c r="C61" s="129" t="s">
        <v>335</v>
      </c>
      <c r="D61" s="174" t="s">
        <v>574</v>
      </c>
      <c r="E61" s="102" t="s">
        <v>179</v>
      </c>
      <c r="F61" s="174" t="s">
        <v>635</v>
      </c>
      <c r="G61" s="174" t="s">
        <v>662</v>
      </c>
      <c r="H61" s="155">
        <v>80000</v>
      </c>
      <c r="I61" s="116">
        <f>H61*2.87%</f>
        <v>2296</v>
      </c>
      <c r="J61" s="116">
        <f>+H61*3.04%</f>
        <v>2432</v>
      </c>
      <c r="K61" s="116"/>
      <c r="L61" s="116">
        <f>+J61+I61+K61</f>
        <v>4728</v>
      </c>
      <c r="M61" s="116">
        <f>+H61-L61</f>
        <v>75272</v>
      </c>
      <c r="N61" s="116">
        <f>+IF(M62*12&lt;=416220.01,0,IF(M61*12&lt;=624329.01,(((M61*12-416220.01)*0.15)/12),IF((M61*12&lt;=867123.01),(31216+0.2*(M61*12-624329.01))/12,((79776+0.25*(M61*12-867123.01))/12))))-O61</f>
        <v>7400.9372916666662</v>
      </c>
      <c r="O61" s="116"/>
      <c r="P61" s="159">
        <v>15290.29</v>
      </c>
      <c r="Q61" s="116">
        <f>+P61+N61+L61</f>
        <v>27419.227291666666</v>
      </c>
      <c r="R61" s="159">
        <f>+H61-Q61</f>
        <v>52580.77270833333</v>
      </c>
      <c r="S61" s="169"/>
    </row>
    <row r="62" spans="1:19" s="114" customFormat="1" ht="39.950000000000003" customHeight="1" thickBot="1" x14ac:dyDescent="0.25">
      <c r="A62" s="385" t="s">
        <v>99</v>
      </c>
      <c r="B62" s="386"/>
      <c r="C62" s="100"/>
      <c r="D62" s="100"/>
      <c r="E62" s="100"/>
      <c r="F62" s="325"/>
      <c r="G62" s="325"/>
      <c r="H62" s="101">
        <f>SUM(H61)</f>
        <v>80000</v>
      </c>
      <c r="I62" s="101">
        <f t="shared" ref="I62:R62" si="32">SUM(I61)</f>
        <v>2296</v>
      </c>
      <c r="J62" s="101">
        <f t="shared" si="32"/>
        <v>2432</v>
      </c>
      <c r="K62" s="101">
        <f t="shared" si="32"/>
        <v>0</v>
      </c>
      <c r="L62" s="101">
        <f t="shared" si="32"/>
        <v>4728</v>
      </c>
      <c r="M62" s="101">
        <f t="shared" si="32"/>
        <v>75272</v>
      </c>
      <c r="N62" s="101">
        <f t="shared" si="32"/>
        <v>7400.9372916666662</v>
      </c>
      <c r="O62" s="101">
        <f t="shared" si="32"/>
        <v>0</v>
      </c>
      <c r="P62" s="101">
        <f t="shared" si="32"/>
        <v>15290.29</v>
      </c>
      <c r="Q62" s="101">
        <f t="shared" si="32"/>
        <v>27419.227291666666</v>
      </c>
      <c r="R62" s="101">
        <f t="shared" si="32"/>
        <v>52580.77270833333</v>
      </c>
      <c r="S62" s="169"/>
    </row>
    <row r="63" spans="1:19" s="114" customFormat="1" ht="39.950000000000003" customHeight="1" thickBot="1" x14ac:dyDescent="0.25">
      <c r="A63" s="150" t="s">
        <v>126</v>
      </c>
      <c r="B63" s="151"/>
      <c r="C63" s="151"/>
      <c r="D63" s="151"/>
      <c r="E63" s="151"/>
      <c r="F63" s="324"/>
      <c r="G63" s="324"/>
      <c r="H63" s="151"/>
      <c r="I63" s="151"/>
      <c r="J63" s="151"/>
      <c r="K63" s="151"/>
      <c r="L63" s="151"/>
      <c r="M63" s="151"/>
      <c r="N63" s="151"/>
      <c r="O63" s="151"/>
      <c r="P63" s="151"/>
      <c r="Q63" s="151"/>
      <c r="R63" s="151"/>
      <c r="S63" s="169"/>
    </row>
    <row r="64" spans="1:19" s="114" customFormat="1" ht="39.950000000000003" customHeight="1" x14ac:dyDescent="0.2">
      <c r="A64" s="175">
        <f>+A61+1</f>
        <v>31</v>
      </c>
      <c r="B64" s="176" t="s">
        <v>102</v>
      </c>
      <c r="C64" s="129" t="s">
        <v>335</v>
      </c>
      <c r="D64" s="174" t="s">
        <v>580</v>
      </c>
      <c r="E64" s="102" t="s">
        <v>179</v>
      </c>
      <c r="F64" s="174" t="s">
        <v>610</v>
      </c>
      <c r="G64" s="174" t="s">
        <v>640</v>
      </c>
      <c r="H64" s="155">
        <v>90000</v>
      </c>
      <c r="I64" s="116">
        <f>H64*2.87%</f>
        <v>2583</v>
      </c>
      <c r="J64" s="116">
        <f>+H64*3.04%</f>
        <v>2736</v>
      </c>
      <c r="K64" s="116"/>
      <c r="L64" s="116">
        <f>+J64+I64+K64</f>
        <v>5319</v>
      </c>
      <c r="M64" s="116">
        <f>+H64-L64</f>
        <v>84681</v>
      </c>
      <c r="N64" s="116">
        <f>+IF(M64*12&lt;=416220.01,0,IF(M64*12&lt;=624329.01,(((M64*12-416220.01)*0.15)/12),IF((M64*12&lt;=867123.01),(31216+0.2*(M64*12-624329.01))/12,((79776+0.25*(M64*12-867123.01))/12))))-O64</f>
        <v>9753.1872916666671</v>
      </c>
      <c r="O64" s="116"/>
      <c r="P64" s="159">
        <v>25</v>
      </c>
      <c r="Q64" s="116">
        <f>+P64+N64+L64</f>
        <v>15097.187291666667</v>
      </c>
      <c r="R64" s="159">
        <f>+H64-Q64</f>
        <v>74902.812708333338</v>
      </c>
      <c r="S64" s="169"/>
    </row>
    <row r="65" spans="1:19" s="114" customFormat="1" ht="39.950000000000003" customHeight="1" x14ac:dyDescent="0.2">
      <c r="A65" s="175">
        <f>+A64+1</f>
        <v>32</v>
      </c>
      <c r="B65" s="176" t="s">
        <v>490</v>
      </c>
      <c r="C65" s="129" t="s">
        <v>335</v>
      </c>
      <c r="D65" s="174" t="s">
        <v>574</v>
      </c>
      <c r="E65" s="102" t="s">
        <v>179</v>
      </c>
      <c r="F65" s="174" t="s">
        <v>610</v>
      </c>
      <c r="G65" s="174" t="s">
        <v>640</v>
      </c>
      <c r="H65" s="155">
        <v>80000</v>
      </c>
      <c r="I65" s="118">
        <f>H65*2.87%</f>
        <v>2296</v>
      </c>
      <c r="J65" s="118">
        <f>+H65*3.04%</f>
        <v>2432</v>
      </c>
      <c r="K65" s="118">
        <f>1919.78*2</f>
        <v>3839.56</v>
      </c>
      <c r="L65" s="118">
        <f>+J65+I65+K65</f>
        <v>8567.56</v>
      </c>
      <c r="M65" s="116">
        <f>+H65-L65</f>
        <v>71432.44</v>
      </c>
      <c r="N65" s="116">
        <f>+IF(M65*12&lt;=416220.01,0,IF(M65*12&lt;=624329.01,(((M65*12-416220.01)*0.15)/12),IF((M65*12&lt;=867123.01),(31216+0.2*(M65*12-624329.01))/12,((79776+0.25*(M65*12-867123.01))/12))))-O65</f>
        <v>6482.3378333333339</v>
      </c>
      <c r="O65" s="116"/>
      <c r="P65" s="159">
        <v>5860.65</v>
      </c>
      <c r="Q65" s="116">
        <f>+P65+N65+L65</f>
        <v>20910.54783333333</v>
      </c>
      <c r="R65" s="155">
        <f>+H65-Q65</f>
        <v>59089.45216666667</v>
      </c>
      <c r="S65" s="169"/>
    </row>
    <row r="66" spans="1:19" s="114" customFormat="1" ht="39.950000000000003" customHeight="1" x14ac:dyDescent="0.2">
      <c r="A66" s="385" t="s">
        <v>99</v>
      </c>
      <c r="B66" s="386"/>
      <c r="C66" s="100"/>
      <c r="D66" s="100"/>
      <c r="E66" s="100"/>
      <c r="F66" s="325"/>
      <c r="G66" s="325"/>
      <c r="H66" s="101">
        <f>SUM(H64:H65)</f>
        <v>170000</v>
      </c>
      <c r="I66" s="101">
        <f t="shared" ref="I66:R66" si="33">SUM(I64:I65)</f>
        <v>4879</v>
      </c>
      <c r="J66" s="101">
        <f t="shared" si="33"/>
        <v>5168</v>
      </c>
      <c r="K66" s="101">
        <f t="shared" si="33"/>
        <v>3839.56</v>
      </c>
      <c r="L66" s="101">
        <f t="shared" si="33"/>
        <v>13886.56</v>
      </c>
      <c r="M66" s="101">
        <f t="shared" si="33"/>
        <v>156113.44</v>
      </c>
      <c r="N66" s="101">
        <f t="shared" si="33"/>
        <v>16235.525125</v>
      </c>
      <c r="O66" s="101">
        <f t="shared" si="33"/>
        <v>0</v>
      </c>
      <c r="P66" s="101">
        <f t="shared" si="33"/>
        <v>5885.65</v>
      </c>
      <c r="Q66" s="101">
        <f t="shared" si="33"/>
        <v>36007.735124999999</v>
      </c>
      <c r="R66" s="101">
        <f t="shared" si="33"/>
        <v>133992.26487499999</v>
      </c>
      <c r="S66" s="169"/>
    </row>
    <row r="67" spans="1:19" s="114" customFormat="1" ht="39.950000000000003" customHeight="1" thickBot="1" x14ac:dyDescent="0.25">
      <c r="A67" s="168"/>
      <c r="B67" s="168"/>
      <c r="C67" s="168"/>
      <c r="D67" s="168"/>
      <c r="E67" s="168"/>
      <c r="F67" s="173"/>
      <c r="G67" s="173"/>
      <c r="J67" s="169"/>
      <c r="K67" s="169"/>
      <c r="L67" s="169"/>
      <c r="M67" s="169"/>
      <c r="N67" s="169"/>
      <c r="O67" s="169"/>
      <c r="P67" s="169"/>
      <c r="Q67" s="169"/>
      <c r="R67" s="169"/>
      <c r="S67" s="169"/>
    </row>
    <row r="68" spans="1:19" s="111" customFormat="1" ht="39.950000000000003" customHeight="1" thickBot="1" x14ac:dyDescent="0.25">
      <c r="A68" s="150" t="s">
        <v>127</v>
      </c>
      <c r="B68" s="151"/>
      <c r="C68" s="151"/>
      <c r="D68" s="151"/>
      <c r="E68" s="151"/>
      <c r="F68" s="324"/>
      <c r="G68" s="324"/>
      <c r="H68" s="151"/>
      <c r="I68" s="151"/>
      <c r="J68" s="151"/>
      <c r="K68" s="151"/>
      <c r="L68" s="151"/>
      <c r="M68" s="151"/>
      <c r="N68" s="151"/>
      <c r="O68" s="151"/>
      <c r="P68" s="151"/>
      <c r="Q68" s="151"/>
      <c r="R68" s="151"/>
      <c r="S68" s="115"/>
    </row>
    <row r="69" spans="1:19" s="115" customFormat="1" ht="39.950000000000003" customHeight="1" x14ac:dyDescent="0.2">
      <c r="A69" s="175">
        <f>+A65+1</f>
        <v>33</v>
      </c>
      <c r="B69" s="105" t="s">
        <v>508</v>
      </c>
      <c r="C69" s="130" t="s">
        <v>335</v>
      </c>
      <c r="D69" s="153" t="s">
        <v>574</v>
      </c>
      <c r="E69" s="153" t="s">
        <v>179</v>
      </c>
      <c r="F69" s="174" t="s">
        <v>620</v>
      </c>
      <c r="G69" s="174" t="s">
        <v>652</v>
      </c>
      <c r="H69" s="159">
        <v>80000</v>
      </c>
      <c r="I69" s="116">
        <f>H69*2.87%</f>
        <v>2296</v>
      </c>
      <c r="J69" s="116">
        <f>+H69*3.04%</f>
        <v>2432</v>
      </c>
      <c r="K69" s="116"/>
      <c r="L69" s="116">
        <f>+J69+I69+K69</f>
        <v>4728</v>
      </c>
      <c r="M69" s="116">
        <f>+H69-L69</f>
        <v>75272</v>
      </c>
      <c r="N69" s="116">
        <f>+IF(M69*12&lt;=416220.01,0,IF(M69*12&lt;=624329.01,(((M69*12-416220.01)*0.15)/12),IF((M69*12&lt;=867123.01),(31216+0.2*(M69*12-624329.01))/12,((79776+0.25*(M69*12-867123.01))/12))))-O69</f>
        <v>7400.9372916666662</v>
      </c>
      <c r="O69" s="116"/>
      <c r="P69" s="155">
        <v>25</v>
      </c>
      <c r="Q69" s="116">
        <f>+P69+N69+L69</f>
        <v>12153.937291666665</v>
      </c>
      <c r="R69" s="159">
        <f>+H69-Q69</f>
        <v>67846.062708333338</v>
      </c>
    </row>
    <row r="70" spans="1:19" s="115" customFormat="1" ht="39.950000000000003" customHeight="1" x14ac:dyDescent="0.2">
      <c r="A70" s="385" t="s">
        <v>99</v>
      </c>
      <c r="B70" s="386"/>
      <c r="C70" s="100"/>
      <c r="D70" s="100"/>
      <c r="E70" s="100"/>
      <c r="F70" s="325"/>
      <c r="G70" s="325"/>
      <c r="H70" s="101">
        <f t="shared" ref="H70:R70" si="34">SUM(H69:H69)</f>
        <v>80000</v>
      </c>
      <c r="I70" s="101">
        <f t="shared" si="34"/>
        <v>2296</v>
      </c>
      <c r="J70" s="101">
        <f t="shared" si="34"/>
        <v>2432</v>
      </c>
      <c r="K70" s="101">
        <f t="shared" si="34"/>
        <v>0</v>
      </c>
      <c r="L70" s="101">
        <f t="shared" si="34"/>
        <v>4728</v>
      </c>
      <c r="M70" s="101">
        <f t="shared" si="34"/>
        <v>75272</v>
      </c>
      <c r="N70" s="101">
        <f t="shared" si="34"/>
        <v>7400.9372916666662</v>
      </c>
      <c r="O70" s="101">
        <f t="shared" si="34"/>
        <v>0</v>
      </c>
      <c r="P70" s="101">
        <f t="shared" si="34"/>
        <v>25</v>
      </c>
      <c r="Q70" s="101">
        <f t="shared" si="34"/>
        <v>12153.937291666665</v>
      </c>
      <c r="R70" s="101">
        <f t="shared" si="34"/>
        <v>67846.062708333338</v>
      </c>
    </row>
    <row r="71" spans="1:19" s="115" customFormat="1" ht="39.950000000000003" customHeight="1" thickBot="1" x14ac:dyDescent="0.25">
      <c r="A71" s="114"/>
      <c r="B71" s="114"/>
      <c r="C71" s="114"/>
      <c r="D71" s="114"/>
      <c r="E71" s="114"/>
      <c r="F71" s="169"/>
      <c r="G71" s="169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</row>
    <row r="72" spans="1:19" s="115" customFormat="1" ht="39.950000000000003" customHeight="1" thickBot="1" x14ac:dyDescent="0.25">
      <c r="A72" s="150" t="s">
        <v>385</v>
      </c>
      <c r="B72" s="151"/>
      <c r="C72" s="151"/>
      <c r="D72" s="151"/>
      <c r="E72" s="151"/>
      <c r="F72" s="324"/>
      <c r="G72" s="324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</row>
    <row r="73" spans="1:19" s="111" customFormat="1" ht="39.950000000000003" customHeight="1" x14ac:dyDescent="0.2">
      <c r="A73" s="175">
        <f>+A69+1</f>
        <v>34</v>
      </c>
      <c r="B73" s="105" t="s">
        <v>384</v>
      </c>
      <c r="C73" s="130" t="s">
        <v>336</v>
      </c>
      <c r="D73" s="153" t="s">
        <v>574</v>
      </c>
      <c r="E73" s="153" t="s">
        <v>179</v>
      </c>
      <c r="F73" s="174" t="s">
        <v>610</v>
      </c>
      <c r="G73" s="174" t="s">
        <v>640</v>
      </c>
      <c r="H73" s="159">
        <v>80000</v>
      </c>
      <c r="I73" s="116">
        <f>H73*2.87%</f>
        <v>2296</v>
      </c>
      <c r="J73" s="116">
        <f>+H73*3.04%</f>
        <v>2432</v>
      </c>
      <c r="K73" s="116"/>
      <c r="L73" s="116">
        <f>+J73+I73+K73</f>
        <v>4728</v>
      </c>
      <c r="M73" s="116">
        <f>+H73-L73</f>
        <v>75272</v>
      </c>
      <c r="N73" s="116">
        <v>0</v>
      </c>
      <c r="O73" s="116">
        <v>0</v>
      </c>
      <c r="P73" s="155">
        <v>12459.31</v>
      </c>
      <c r="Q73" s="116">
        <f>+P73+N73+L73</f>
        <v>17187.309999999998</v>
      </c>
      <c r="R73" s="159">
        <f>+H73-Q73</f>
        <v>62812.69</v>
      </c>
      <c r="S73" s="115"/>
    </row>
    <row r="74" spans="1:19" s="114" customFormat="1" ht="39.950000000000003" customHeight="1" x14ac:dyDescent="0.2">
      <c r="A74" s="385" t="s">
        <v>99</v>
      </c>
      <c r="B74" s="386"/>
      <c r="C74" s="100"/>
      <c r="D74" s="100"/>
      <c r="E74" s="100"/>
      <c r="F74" s="325"/>
      <c r="G74" s="325"/>
      <c r="H74" s="101">
        <f>+H73</f>
        <v>80000</v>
      </c>
      <c r="I74" s="101">
        <f>+I73</f>
        <v>2296</v>
      </c>
      <c r="J74" s="101">
        <f>+J73</f>
        <v>2432</v>
      </c>
      <c r="K74" s="101">
        <f t="shared" ref="K74:R74" si="35">+K73</f>
        <v>0</v>
      </c>
      <c r="L74" s="101">
        <f>+L73</f>
        <v>4728</v>
      </c>
      <c r="M74" s="101">
        <f>+M73</f>
        <v>75272</v>
      </c>
      <c r="N74" s="101">
        <f>+N73</f>
        <v>0</v>
      </c>
      <c r="O74" s="101">
        <f t="shared" si="35"/>
        <v>0</v>
      </c>
      <c r="P74" s="101">
        <f>+P73</f>
        <v>12459.31</v>
      </c>
      <c r="Q74" s="101">
        <f t="shared" si="35"/>
        <v>17187.309999999998</v>
      </c>
      <c r="R74" s="101">
        <f t="shared" si="35"/>
        <v>62812.69</v>
      </c>
      <c r="S74" s="169"/>
    </row>
    <row r="75" spans="1:19" s="169" customFormat="1" ht="39.950000000000003" customHeight="1" thickBot="1" x14ac:dyDescent="0.25">
      <c r="A75" s="168"/>
      <c r="B75" s="168"/>
      <c r="C75" s="168"/>
      <c r="D75" s="168"/>
      <c r="E75" s="168"/>
      <c r="F75" s="173"/>
      <c r="G75" s="173"/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</row>
    <row r="76" spans="1:19" s="169" customFormat="1" ht="39.950000000000003" customHeight="1" thickBot="1" x14ac:dyDescent="0.25">
      <c r="A76" s="150" t="s">
        <v>162</v>
      </c>
      <c r="B76" s="151"/>
      <c r="C76" s="151"/>
      <c r="D76" s="151"/>
      <c r="E76" s="151"/>
      <c r="F76" s="324"/>
      <c r="G76" s="324"/>
      <c r="H76" s="151"/>
      <c r="I76" s="151"/>
      <c r="J76" s="151"/>
      <c r="K76" s="151"/>
      <c r="L76" s="151"/>
      <c r="M76" s="151"/>
      <c r="N76" s="151"/>
      <c r="O76" s="151"/>
      <c r="P76" s="151"/>
      <c r="Q76" s="151"/>
      <c r="R76" s="151"/>
    </row>
    <row r="77" spans="1:19" s="114" customFormat="1" ht="39.950000000000003" customHeight="1" x14ac:dyDescent="0.2">
      <c r="A77" s="175">
        <f>+A73+1</f>
        <v>35</v>
      </c>
      <c r="B77" s="176" t="s">
        <v>303</v>
      </c>
      <c r="C77" s="129" t="s">
        <v>336</v>
      </c>
      <c r="D77" s="174" t="s">
        <v>574</v>
      </c>
      <c r="E77" s="102" t="s">
        <v>179</v>
      </c>
      <c r="F77" s="174" t="s">
        <v>620</v>
      </c>
      <c r="G77" s="174" t="s">
        <v>652</v>
      </c>
      <c r="H77" s="155">
        <v>90000</v>
      </c>
      <c r="I77" s="118">
        <f>H77*2.87%</f>
        <v>2583</v>
      </c>
      <c r="J77" s="118">
        <f>+H77*3.04%</f>
        <v>2736</v>
      </c>
      <c r="K77" s="118">
        <v>1919.78</v>
      </c>
      <c r="L77" s="118">
        <f>+J77+I77+K77</f>
        <v>7238.78</v>
      </c>
      <c r="M77" s="118">
        <f>+H77-L77</f>
        <v>82761.22</v>
      </c>
      <c r="N77" s="116">
        <f>+IF(M78*12&lt;=416220.01,0,IF(M77*12&lt;=624329.01,(((M77*12-416220.01)*0.15)/12),IF((M77*12&lt;=867123.01),(31216+0.2*(M77*12-624329.01))/12,((79776+0.25*(M77*12-867123.01))/12))))-O77</f>
        <v>9273.2422916666674</v>
      </c>
      <c r="O77" s="118"/>
      <c r="P77" s="155">
        <v>3290.29</v>
      </c>
      <c r="Q77" s="116">
        <f>+P77+N77+L77</f>
        <v>19802.312291666665</v>
      </c>
      <c r="R77" s="155">
        <f>+H77-Q77</f>
        <v>70197.687708333338</v>
      </c>
      <c r="S77" s="169"/>
    </row>
    <row r="78" spans="1:19" s="114" customFormat="1" ht="39.950000000000003" customHeight="1" x14ac:dyDescent="0.2">
      <c r="A78" s="175">
        <f>+A77+1</f>
        <v>36</v>
      </c>
      <c r="B78" s="176" t="s">
        <v>386</v>
      </c>
      <c r="C78" s="129" t="s">
        <v>336</v>
      </c>
      <c r="D78" s="174" t="s">
        <v>574</v>
      </c>
      <c r="E78" s="102" t="s">
        <v>179</v>
      </c>
      <c r="F78" s="174" t="s">
        <v>610</v>
      </c>
      <c r="G78" s="174" t="s">
        <v>640</v>
      </c>
      <c r="H78" s="155">
        <v>90000</v>
      </c>
      <c r="I78" s="118">
        <f>H78*2.87%</f>
        <v>2583</v>
      </c>
      <c r="J78" s="118">
        <f>+H78*3.04%</f>
        <v>2736</v>
      </c>
      <c r="K78" s="118">
        <v>1919.78</v>
      </c>
      <c r="L78" s="116">
        <f>+J78+I78+K78</f>
        <v>7238.78</v>
      </c>
      <c r="M78" s="116">
        <f>+H78-L78</f>
        <v>82761.22</v>
      </c>
      <c r="N78" s="116">
        <v>1805.13</v>
      </c>
      <c r="O78" s="116">
        <v>0</v>
      </c>
      <c r="P78" s="117">
        <v>2717.93</v>
      </c>
      <c r="Q78" s="116">
        <f>+P78+N78+L78</f>
        <v>11761.84</v>
      </c>
      <c r="R78" s="155">
        <f>+H78-Q78</f>
        <v>78238.16</v>
      </c>
      <c r="S78" s="169"/>
    </row>
    <row r="79" spans="1:19" s="114" customFormat="1" ht="39.950000000000003" customHeight="1" x14ac:dyDescent="0.2">
      <c r="A79" s="175">
        <f>+A78+1</f>
        <v>37</v>
      </c>
      <c r="B79" s="176" t="s">
        <v>322</v>
      </c>
      <c r="C79" s="129" t="s">
        <v>336</v>
      </c>
      <c r="D79" s="174" t="s">
        <v>574</v>
      </c>
      <c r="E79" s="102" t="s">
        <v>179</v>
      </c>
      <c r="F79" s="174" t="s">
        <v>620</v>
      </c>
      <c r="G79" s="174" t="s">
        <v>652</v>
      </c>
      <c r="H79" s="155">
        <v>90000</v>
      </c>
      <c r="I79" s="97">
        <f>H79*2.87%</f>
        <v>2583</v>
      </c>
      <c r="J79" s="97">
        <f>+H79*3.04%</f>
        <v>2736</v>
      </c>
      <c r="K79" s="118">
        <v>1919.78</v>
      </c>
      <c r="L79" s="105">
        <f>+J79+I79+K79</f>
        <v>7238.78</v>
      </c>
      <c r="M79" s="105">
        <f>+H79-L79</f>
        <v>82761.22</v>
      </c>
      <c r="N79" s="116">
        <f>+IF(M80*12&lt;=416220.01,0,IF(M79*12&lt;=624329.01,(((M79*12-416220.01)*0.15)/12),IF((M79*12&lt;=867123.01),(31216+0.2*(M79*12-624329.01))/12,((79776+0.25*(M79*12-867123.01))/12))))-O79</f>
        <v>9273.2422916666674</v>
      </c>
      <c r="O79" s="105">
        <v>0</v>
      </c>
      <c r="P79" s="117">
        <v>2290.29</v>
      </c>
      <c r="Q79" s="105">
        <f>+P79+N79+L79</f>
        <v>18802.312291666665</v>
      </c>
      <c r="R79" s="162">
        <f>+H79-Q79</f>
        <v>71197.687708333338</v>
      </c>
      <c r="S79" s="169"/>
    </row>
    <row r="80" spans="1:19" s="114" customFormat="1" ht="39.950000000000003" customHeight="1" x14ac:dyDescent="0.2">
      <c r="A80" s="152">
        <f>+A79+1</f>
        <v>38</v>
      </c>
      <c r="B80" s="157" t="s">
        <v>581</v>
      </c>
      <c r="C80" s="130" t="s">
        <v>335</v>
      </c>
      <c r="D80" s="153" t="s">
        <v>574</v>
      </c>
      <c r="E80" s="153" t="s">
        <v>179</v>
      </c>
      <c r="F80" s="174" t="s">
        <v>620</v>
      </c>
      <c r="G80" s="174" t="s">
        <v>656</v>
      </c>
      <c r="H80" s="159">
        <v>80000</v>
      </c>
      <c r="I80" s="116">
        <f>H80*2.87%</f>
        <v>2296</v>
      </c>
      <c r="J80" s="116">
        <f>+H80*3.04%</f>
        <v>2432</v>
      </c>
      <c r="K80" s="116"/>
      <c r="L80" s="116">
        <f>+J80+I80+K80</f>
        <v>4728</v>
      </c>
      <c r="M80" s="116">
        <f>+H80-L80</f>
        <v>75272</v>
      </c>
      <c r="N80" s="116">
        <v>646.29999999999995</v>
      </c>
      <c r="O80" s="116"/>
      <c r="P80" s="116">
        <v>4048.6</v>
      </c>
      <c r="Q80" s="116">
        <f>+P80+N80+L80</f>
        <v>9422.9</v>
      </c>
      <c r="R80" s="116">
        <f>+H80-Q80</f>
        <v>70577.100000000006</v>
      </c>
      <c r="S80" s="169"/>
    </row>
    <row r="81" spans="1:19" s="169" customFormat="1" ht="39.950000000000003" customHeight="1" x14ac:dyDescent="0.2">
      <c r="A81" s="385" t="s">
        <v>99</v>
      </c>
      <c r="B81" s="386"/>
      <c r="C81" s="100"/>
      <c r="D81" s="100"/>
      <c r="E81" s="100"/>
      <c r="F81" s="325"/>
      <c r="G81" s="325"/>
      <c r="H81" s="101">
        <f>SUM(H77:H80)</f>
        <v>350000</v>
      </c>
      <c r="I81" s="101">
        <f t="shared" ref="I81:R81" si="36">SUM(I77:I80)</f>
        <v>10045</v>
      </c>
      <c r="J81" s="101">
        <f t="shared" si="36"/>
        <v>10640</v>
      </c>
      <c r="K81" s="101">
        <f t="shared" si="36"/>
        <v>5759.34</v>
      </c>
      <c r="L81" s="101">
        <f t="shared" si="36"/>
        <v>26444.34</v>
      </c>
      <c r="M81" s="101">
        <f t="shared" si="36"/>
        <v>323555.66000000003</v>
      </c>
      <c r="N81" s="101">
        <f t="shared" si="36"/>
        <v>20997.914583333335</v>
      </c>
      <c r="O81" s="101">
        <f t="shared" si="36"/>
        <v>0</v>
      </c>
      <c r="P81" s="101">
        <f t="shared" si="36"/>
        <v>12347.109999999999</v>
      </c>
      <c r="Q81" s="101">
        <f t="shared" si="36"/>
        <v>59789.364583333336</v>
      </c>
      <c r="R81" s="101">
        <f t="shared" si="36"/>
        <v>290210.63541666669</v>
      </c>
    </row>
    <row r="82" spans="1:19" s="111" customFormat="1" ht="39.950000000000003" customHeight="1" thickBot="1" x14ac:dyDescent="0.25">
      <c r="A82" s="168"/>
      <c r="B82" s="168"/>
      <c r="C82" s="168"/>
      <c r="D82" s="168"/>
      <c r="E82" s="168"/>
      <c r="F82" s="173"/>
      <c r="G82" s="173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5"/>
    </row>
    <row r="83" spans="1:19" s="114" customFormat="1" ht="39.950000000000003" customHeight="1" thickBot="1" x14ac:dyDescent="0.25">
      <c r="A83" s="150" t="s">
        <v>130</v>
      </c>
      <c r="B83" s="151"/>
      <c r="C83" s="151"/>
      <c r="D83" s="151"/>
      <c r="E83" s="151"/>
      <c r="F83" s="324"/>
      <c r="G83" s="324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69"/>
    </row>
    <row r="84" spans="1:19" s="114" customFormat="1" ht="39.950000000000003" customHeight="1" x14ac:dyDescent="0.2">
      <c r="A84" s="156">
        <f>+A80+1</f>
        <v>39</v>
      </c>
      <c r="B84" s="105" t="s">
        <v>646</v>
      </c>
      <c r="C84" s="130" t="s">
        <v>584</v>
      </c>
      <c r="D84" s="153" t="s">
        <v>413</v>
      </c>
      <c r="E84" s="153" t="s">
        <v>179</v>
      </c>
      <c r="F84" s="174" t="s">
        <v>635</v>
      </c>
      <c r="G84" s="174" t="s">
        <v>662</v>
      </c>
      <c r="H84" s="159">
        <v>145000</v>
      </c>
      <c r="I84" s="118">
        <f>H84*2.87%</f>
        <v>4161.5</v>
      </c>
      <c r="J84" s="118">
        <f>+H84*3.04%</f>
        <v>4408</v>
      </c>
      <c r="K84" s="118"/>
      <c r="L84" s="116">
        <f>+J84+I84+K84</f>
        <v>8569.5</v>
      </c>
      <c r="M84" s="116">
        <f>+H84-L84</f>
        <v>136430.5</v>
      </c>
      <c r="N84" s="116">
        <f t="shared" ref="N84:N86" si="37">+IF(M85*12&lt;=416220.01,0,IF(M84*12&lt;=624329.01,(((M84*12-416220.01)*0.15)/12),IF((M84*12&lt;=867123.01),(31216+0.2*(M84*12-624329.01))/12,((79776+0.25*(M84*12-867123.01))/12))))-O84</f>
        <v>22690.562291666665</v>
      </c>
      <c r="O84" s="116">
        <v>0</v>
      </c>
      <c r="P84" s="155">
        <v>25</v>
      </c>
      <c r="Q84" s="116">
        <f>+P84+N84+L84</f>
        <v>31285.062291666665</v>
      </c>
      <c r="R84" s="155">
        <f>+H84-Q84</f>
        <v>113714.93770833334</v>
      </c>
      <c r="S84" s="169"/>
    </row>
    <row r="85" spans="1:19" s="114" customFormat="1" ht="39.950000000000003" customHeight="1" x14ac:dyDescent="0.2">
      <c r="A85" s="156">
        <f>+A84+1</f>
        <v>40</v>
      </c>
      <c r="B85" s="157" t="s">
        <v>453</v>
      </c>
      <c r="C85" s="130" t="s">
        <v>336</v>
      </c>
      <c r="D85" s="153" t="s">
        <v>574</v>
      </c>
      <c r="E85" s="153" t="s">
        <v>179</v>
      </c>
      <c r="F85" s="174" t="s">
        <v>609</v>
      </c>
      <c r="G85" s="174" t="s">
        <v>650</v>
      </c>
      <c r="H85" s="159">
        <v>80000</v>
      </c>
      <c r="I85" s="118">
        <f>H85*2.87%</f>
        <v>2296</v>
      </c>
      <c r="J85" s="118">
        <f>+H85*3.04%</f>
        <v>2432</v>
      </c>
      <c r="K85" s="118">
        <v>1919.78</v>
      </c>
      <c r="L85" s="116">
        <f>+J85+I85+K85</f>
        <v>6647.78</v>
      </c>
      <c r="M85" s="116">
        <f t="shared" ref="M85" si="38">+H85-L85</f>
        <v>73352.22</v>
      </c>
      <c r="N85" s="116">
        <f t="shared" si="37"/>
        <v>6920.9922916666665</v>
      </c>
      <c r="O85" s="116"/>
      <c r="P85" s="155">
        <v>1290.29</v>
      </c>
      <c r="Q85" s="116">
        <f>+P85+N85+L85</f>
        <v>14859.062291666665</v>
      </c>
      <c r="R85" s="155">
        <f>+H85-Q85</f>
        <v>65140.937708333338</v>
      </c>
      <c r="S85" s="169"/>
    </row>
    <row r="86" spans="1:19" s="114" customFormat="1" ht="39.950000000000003" customHeight="1" x14ac:dyDescent="0.2">
      <c r="A86" s="156">
        <f>+A85+1</f>
        <v>41</v>
      </c>
      <c r="B86" s="163" t="s">
        <v>509</v>
      </c>
      <c r="C86" s="134" t="s">
        <v>336</v>
      </c>
      <c r="D86" s="107" t="s">
        <v>574</v>
      </c>
      <c r="E86" s="153" t="s">
        <v>179</v>
      </c>
      <c r="F86" s="174" t="s">
        <v>620</v>
      </c>
      <c r="G86" s="174" t="s">
        <v>652</v>
      </c>
      <c r="H86" s="118">
        <v>80000</v>
      </c>
      <c r="I86" s="118">
        <f>H86*2.87%</f>
        <v>2296</v>
      </c>
      <c r="J86" s="118">
        <f>+H86*3.04%</f>
        <v>2432</v>
      </c>
      <c r="K86" s="118">
        <v>0</v>
      </c>
      <c r="L86" s="116">
        <f t="shared" ref="L86:L87" si="39">+J86+I86+K86</f>
        <v>4728</v>
      </c>
      <c r="M86" s="116">
        <f>+H86-L86</f>
        <v>75272</v>
      </c>
      <c r="N86" s="116">
        <f t="shared" si="37"/>
        <v>7400.9372916666662</v>
      </c>
      <c r="O86" s="116">
        <v>0</v>
      </c>
      <c r="P86" s="155">
        <v>25</v>
      </c>
      <c r="Q86" s="118">
        <f>+P86+N86+L86</f>
        <v>12153.937291666665</v>
      </c>
      <c r="R86" s="155">
        <f>+H86-Q86</f>
        <v>67846.062708333338</v>
      </c>
      <c r="S86" s="169"/>
    </row>
    <row r="87" spans="1:19" s="114" customFormat="1" ht="39.950000000000003" customHeight="1" x14ac:dyDescent="0.2">
      <c r="A87" s="156">
        <f>+A86+1</f>
        <v>42</v>
      </c>
      <c r="B87" s="163" t="s">
        <v>651</v>
      </c>
      <c r="C87" s="134" t="s">
        <v>336</v>
      </c>
      <c r="D87" s="107" t="s">
        <v>574</v>
      </c>
      <c r="E87" s="153" t="s">
        <v>179</v>
      </c>
      <c r="F87" s="174" t="s">
        <v>620</v>
      </c>
      <c r="G87" s="174" t="s">
        <v>652</v>
      </c>
      <c r="H87" s="118">
        <v>80000</v>
      </c>
      <c r="I87" s="118">
        <f>H87*2.87%</f>
        <v>2296</v>
      </c>
      <c r="J87" s="118">
        <f>+H87*3.04%</f>
        <v>2432</v>
      </c>
      <c r="K87" s="118">
        <v>1919.78</v>
      </c>
      <c r="L87" s="116">
        <f t="shared" si="39"/>
        <v>6647.78</v>
      </c>
      <c r="M87" s="116">
        <f>+H87-L87</f>
        <v>73352.22</v>
      </c>
      <c r="N87" s="116">
        <f>+IF(M88*12&lt;=416220.01,0,IF(M87*12&lt;=624329.01,(((M87*12-416220.01)*0.15)/12),IF((M87*12&lt;=867123.01),(31216+0.2*(M87*12-624329.01))/12,((79776+0.25*(M87*12-867123.01))/12))))-O87</f>
        <v>6920.9922916666665</v>
      </c>
      <c r="O87" s="116"/>
      <c r="P87" s="155">
        <v>225</v>
      </c>
      <c r="Q87" s="118">
        <f>+P87+N87+L87</f>
        <v>13793.772291666666</v>
      </c>
      <c r="R87" s="155">
        <f>+H87-Q87</f>
        <v>66206.227708333332</v>
      </c>
      <c r="S87" s="169"/>
    </row>
    <row r="88" spans="1:19" s="114" customFormat="1" ht="39.950000000000003" customHeight="1" thickBot="1" x14ac:dyDescent="0.25">
      <c r="A88" s="385" t="s">
        <v>99</v>
      </c>
      <c r="B88" s="386"/>
      <c r="C88" s="100"/>
      <c r="D88" s="100"/>
      <c r="E88" s="100"/>
      <c r="F88" s="325"/>
      <c r="G88" s="325"/>
      <c r="H88" s="101">
        <f>SUM(H84:H87)</f>
        <v>385000</v>
      </c>
      <c r="I88" s="101">
        <f t="shared" ref="I88:R88" si="40">SUM(I84:I87)</f>
        <v>11049.5</v>
      </c>
      <c r="J88" s="101">
        <f t="shared" si="40"/>
        <v>11704</v>
      </c>
      <c r="K88" s="101">
        <f t="shared" si="40"/>
        <v>3839.56</v>
      </c>
      <c r="L88" s="101">
        <f t="shared" si="40"/>
        <v>26593.059999999998</v>
      </c>
      <c r="M88" s="101">
        <f t="shared" si="40"/>
        <v>358406.93999999994</v>
      </c>
      <c r="N88" s="101">
        <f t="shared" si="40"/>
        <v>43933.484166666669</v>
      </c>
      <c r="O88" s="101">
        <f t="shared" si="40"/>
        <v>0</v>
      </c>
      <c r="P88" s="101">
        <f t="shared" si="40"/>
        <v>1565.29</v>
      </c>
      <c r="Q88" s="101">
        <f t="shared" si="40"/>
        <v>72091.834166666667</v>
      </c>
      <c r="R88" s="101">
        <f t="shared" si="40"/>
        <v>312908.16583333333</v>
      </c>
      <c r="S88" s="169"/>
    </row>
    <row r="89" spans="1:19" s="114" customFormat="1" ht="39.950000000000003" customHeight="1" thickBot="1" x14ac:dyDescent="0.25">
      <c r="A89" s="150"/>
      <c r="B89" s="151"/>
      <c r="C89" s="151"/>
      <c r="D89" s="151"/>
      <c r="E89" s="151"/>
      <c r="F89" s="324"/>
      <c r="G89" s="324"/>
      <c r="H89" s="151"/>
      <c r="I89" s="151"/>
      <c r="J89" s="151"/>
      <c r="K89" s="151"/>
      <c r="L89" s="151"/>
      <c r="M89" s="151"/>
      <c r="N89" s="151"/>
      <c r="O89" s="151"/>
      <c r="Q89" s="151"/>
      <c r="R89" s="151"/>
      <c r="S89" s="169"/>
    </row>
    <row r="90" spans="1:19" s="114" customFormat="1" ht="39.950000000000003" customHeight="1" thickBot="1" x14ac:dyDescent="0.25">
      <c r="A90" s="150" t="s">
        <v>432</v>
      </c>
      <c r="B90" s="151"/>
      <c r="C90" s="151"/>
      <c r="D90" s="151"/>
      <c r="E90" s="151"/>
      <c r="F90" s="324"/>
      <c r="G90" s="324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69"/>
    </row>
    <row r="91" spans="1:19" s="114" customFormat="1" ht="39.950000000000003" customHeight="1" x14ac:dyDescent="0.2">
      <c r="A91" s="152">
        <f>+A87+1</f>
        <v>43</v>
      </c>
      <c r="B91" s="157" t="s">
        <v>319</v>
      </c>
      <c r="C91" s="130" t="s">
        <v>335</v>
      </c>
      <c r="D91" s="153" t="s">
        <v>574</v>
      </c>
      <c r="E91" s="153" t="s">
        <v>179</v>
      </c>
      <c r="F91" s="322" t="s">
        <v>624</v>
      </c>
      <c r="G91" s="322" t="s">
        <v>623</v>
      </c>
      <c r="H91" s="159">
        <v>85000</v>
      </c>
      <c r="I91" s="116">
        <f>H91*2.87%</f>
        <v>2439.5</v>
      </c>
      <c r="J91" s="116">
        <f>+H91*3.04%</f>
        <v>2584</v>
      </c>
      <c r="K91" s="116"/>
      <c r="L91" s="116">
        <f>+J91+I91+K91</f>
        <v>5023.5</v>
      </c>
      <c r="M91" s="116">
        <f>+H91-L91</f>
        <v>79976.5</v>
      </c>
      <c r="N91" s="116">
        <f>+IF(M91*12&lt;=416220.01,0,IF(M91*12&lt;=624329.01,(((M91*12-416220.01)*0.15)/12),IF((M91*12&lt;=867123.01),(31216+0.2*(M91*12-624329.01))/12,((79776+0.25*(M91*12-867123.01))/12))))</f>
        <v>8577.0622916666671</v>
      </c>
      <c r="O91" s="116"/>
      <c r="P91" s="116">
        <v>3290.29</v>
      </c>
      <c r="Q91" s="116">
        <f>+P91+N91+L91</f>
        <v>16890.852291666666</v>
      </c>
      <c r="R91" s="116">
        <f>+H91-Q91</f>
        <v>68109.14770833333</v>
      </c>
      <c r="S91" s="169"/>
    </row>
    <row r="92" spans="1:19" s="169" customFormat="1" ht="41.25" customHeight="1" x14ac:dyDescent="0.2">
      <c r="A92" s="175">
        <f>+A91+1</f>
        <v>44</v>
      </c>
      <c r="B92" s="176" t="s">
        <v>536</v>
      </c>
      <c r="C92" s="129" t="s">
        <v>336</v>
      </c>
      <c r="D92" s="174" t="s">
        <v>574</v>
      </c>
      <c r="E92" s="102" t="s">
        <v>179</v>
      </c>
      <c r="F92" s="174" t="s">
        <v>609</v>
      </c>
      <c r="G92" s="174" t="s">
        <v>650</v>
      </c>
      <c r="H92" s="155">
        <v>80000</v>
      </c>
      <c r="I92" s="118">
        <f>H92*2.87%</f>
        <v>2296</v>
      </c>
      <c r="J92" s="118">
        <f>+H92*3.04%</f>
        <v>2432</v>
      </c>
      <c r="K92" s="118"/>
      <c r="L92" s="116">
        <f>+J92+I92+K92</f>
        <v>4728</v>
      </c>
      <c r="M92" s="116">
        <f>+H92-L92</f>
        <v>75272</v>
      </c>
      <c r="N92" s="116">
        <v>0</v>
      </c>
      <c r="O92" s="116"/>
      <c r="P92" s="159">
        <v>1790.29</v>
      </c>
      <c r="Q92" s="116">
        <f>+P92+N92+L92</f>
        <v>6518.29</v>
      </c>
      <c r="R92" s="155">
        <f>+H92-Q92</f>
        <v>73481.710000000006</v>
      </c>
    </row>
    <row r="93" spans="1:19" s="114" customFormat="1" ht="39.950000000000003" customHeight="1" thickBot="1" x14ac:dyDescent="0.25">
      <c r="A93" s="385" t="s">
        <v>99</v>
      </c>
      <c r="B93" s="386"/>
      <c r="C93" s="100"/>
      <c r="D93" s="100"/>
      <c r="E93" s="100"/>
      <c r="F93" s="325"/>
      <c r="G93" s="325"/>
      <c r="H93" s="101">
        <f t="shared" ref="H93:R93" si="41">SUM(H91:H92)</f>
        <v>165000</v>
      </c>
      <c r="I93" s="101">
        <f t="shared" si="41"/>
        <v>4735.5</v>
      </c>
      <c r="J93" s="101">
        <f t="shared" si="41"/>
        <v>5016</v>
      </c>
      <c r="K93" s="101">
        <f t="shared" si="41"/>
        <v>0</v>
      </c>
      <c r="L93" s="101">
        <f t="shared" si="41"/>
        <v>9751.5</v>
      </c>
      <c r="M93" s="101">
        <f t="shared" si="41"/>
        <v>155248.5</v>
      </c>
      <c r="N93" s="101">
        <f t="shared" si="41"/>
        <v>8577.0622916666671</v>
      </c>
      <c r="O93" s="101">
        <f t="shared" si="41"/>
        <v>0</v>
      </c>
      <c r="P93" s="101">
        <f t="shared" si="41"/>
        <v>5080.58</v>
      </c>
      <c r="Q93" s="101">
        <f t="shared" si="41"/>
        <v>23409.142291666667</v>
      </c>
      <c r="R93" s="101">
        <f t="shared" si="41"/>
        <v>141590.85770833335</v>
      </c>
      <c r="S93" s="169"/>
    </row>
    <row r="94" spans="1:19" s="114" customFormat="1" ht="39.950000000000003" customHeight="1" thickBot="1" x14ac:dyDescent="0.25">
      <c r="A94" s="150" t="s">
        <v>133</v>
      </c>
      <c r="B94" s="151"/>
      <c r="C94" s="151"/>
      <c r="D94" s="151"/>
      <c r="E94" s="151"/>
      <c r="F94" s="324"/>
      <c r="G94" s="324"/>
      <c r="H94" s="151"/>
      <c r="I94" s="151"/>
      <c r="J94" s="151"/>
      <c r="K94" s="151"/>
      <c r="L94" s="151"/>
      <c r="M94" s="151"/>
      <c r="N94" s="151"/>
      <c r="O94" s="151"/>
      <c r="P94" s="151"/>
      <c r="Q94" s="151"/>
      <c r="R94" s="151"/>
      <c r="S94" s="169"/>
    </row>
    <row r="95" spans="1:19" s="169" customFormat="1" ht="39.950000000000003" customHeight="1" x14ac:dyDescent="0.2">
      <c r="A95" s="156">
        <f>+A92+1</f>
        <v>45</v>
      </c>
      <c r="B95" s="157" t="s">
        <v>485</v>
      </c>
      <c r="C95" s="130" t="s">
        <v>336</v>
      </c>
      <c r="D95" s="153" t="s">
        <v>574</v>
      </c>
      <c r="E95" s="153" t="s">
        <v>179</v>
      </c>
      <c r="F95" s="174" t="s">
        <v>610</v>
      </c>
      <c r="G95" s="174" t="s">
        <v>640</v>
      </c>
      <c r="H95" s="159">
        <v>80000</v>
      </c>
      <c r="I95" s="116">
        <f>H95*2.87%</f>
        <v>2296</v>
      </c>
      <c r="J95" s="116">
        <f>+H95*3.04%</f>
        <v>2432</v>
      </c>
      <c r="K95" s="116"/>
      <c r="L95" s="116">
        <f>+J95+I95+K95</f>
        <v>4728</v>
      </c>
      <c r="M95" s="116">
        <f>+H95-L95</f>
        <v>75272</v>
      </c>
      <c r="N95" s="116">
        <v>7400.94</v>
      </c>
      <c r="O95" s="116"/>
      <c r="P95" s="155">
        <v>1090.29</v>
      </c>
      <c r="Q95" s="116">
        <f>+P95+N95+L95</f>
        <v>13219.23</v>
      </c>
      <c r="R95" s="159">
        <f>+H95-Q95</f>
        <v>66780.77</v>
      </c>
    </row>
    <row r="96" spans="1:19" s="169" customFormat="1" ht="39.950000000000003" customHeight="1" x14ac:dyDescent="0.2">
      <c r="A96" s="156">
        <f>+A95+1</f>
        <v>46</v>
      </c>
      <c r="B96" s="157" t="s">
        <v>360</v>
      </c>
      <c r="C96" s="130" t="s">
        <v>335</v>
      </c>
      <c r="D96" s="153" t="s">
        <v>574</v>
      </c>
      <c r="E96" s="153" t="s">
        <v>179</v>
      </c>
      <c r="F96" s="174" t="s">
        <v>635</v>
      </c>
      <c r="G96" s="174" t="s">
        <v>662</v>
      </c>
      <c r="H96" s="159">
        <v>90000</v>
      </c>
      <c r="I96" s="116">
        <f>H96*2.87%</f>
        <v>2583</v>
      </c>
      <c r="J96" s="116">
        <f>+H96*3.04%</f>
        <v>2736</v>
      </c>
      <c r="K96" s="116"/>
      <c r="L96" s="116">
        <f>+J96+I96+K96</f>
        <v>5319</v>
      </c>
      <c r="M96" s="116">
        <f>+H96-L96</f>
        <v>84681</v>
      </c>
      <c r="N96" s="116">
        <f>+IF(M69*12&lt;=416220.01,0,IF(M96*12&lt;=624329.01,(((M96*12-416220.01)*0.15)/12),IF((M96*12&lt;=867123.01),(31216+0.2*(M96*12-624329.01))/12,((79776+0.25*(M96*12-867123.01))/12))))-O96</f>
        <v>9753.1872916666671</v>
      </c>
      <c r="O96" s="116"/>
      <c r="P96" s="155">
        <f>100+125</f>
        <v>225</v>
      </c>
      <c r="Q96" s="116">
        <f>+P96+N96+L96</f>
        <v>15297.187291666667</v>
      </c>
      <c r="R96" s="159">
        <f>+H96-Q96</f>
        <v>74702.812708333338</v>
      </c>
    </row>
    <row r="97" spans="1:19" s="114" customFormat="1" ht="39.950000000000003" customHeight="1" x14ac:dyDescent="0.2">
      <c r="A97" s="385" t="s">
        <v>99</v>
      </c>
      <c r="B97" s="386"/>
      <c r="C97" s="100"/>
      <c r="D97" s="100"/>
      <c r="E97" s="100"/>
      <c r="F97" s="325"/>
      <c r="G97" s="325"/>
      <c r="H97" s="101">
        <f>SUM(H95:H96)</f>
        <v>170000</v>
      </c>
      <c r="I97" s="101">
        <f t="shared" ref="I97:R97" si="42">SUM(I95:I96)</f>
        <v>4879</v>
      </c>
      <c r="J97" s="101">
        <f t="shared" si="42"/>
        <v>5168</v>
      </c>
      <c r="K97" s="101">
        <f t="shared" si="42"/>
        <v>0</v>
      </c>
      <c r="L97" s="101">
        <f t="shared" si="42"/>
        <v>10047</v>
      </c>
      <c r="M97" s="101">
        <f t="shared" si="42"/>
        <v>159953</v>
      </c>
      <c r="N97" s="101">
        <f t="shared" si="42"/>
        <v>17154.127291666668</v>
      </c>
      <c r="O97" s="101">
        <f t="shared" si="42"/>
        <v>0</v>
      </c>
      <c r="P97" s="101">
        <f t="shared" si="42"/>
        <v>1315.29</v>
      </c>
      <c r="Q97" s="101">
        <f t="shared" si="42"/>
        <v>28516.417291666665</v>
      </c>
      <c r="R97" s="101">
        <f t="shared" si="42"/>
        <v>141483.58270833333</v>
      </c>
      <c r="S97" s="169"/>
    </row>
    <row r="98" spans="1:19" s="114" customFormat="1" ht="39.950000000000003" customHeight="1" thickBot="1" x14ac:dyDescent="0.25">
      <c r="A98" s="168"/>
      <c r="B98" s="168"/>
      <c r="C98" s="168"/>
      <c r="D98" s="168"/>
      <c r="E98" s="168"/>
      <c r="F98" s="173"/>
      <c r="G98" s="173"/>
      <c r="S98" s="169"/>
    </row>
    <row r="99" spans="1:19" s="98" customFormat="1" ht="39.950000000000003" customHeight="1" thickBot="1" x14ac:dyDescent="0.25">
      <c r="A99" s="150" t="s">
        <v>135</v>
      </c>
      <c r="B99" s="151"/>
      <c r="C99" s="151"/>
      <c r="D99" s="151"/>
      <c r="E99" s="151"/>
      <c r="F99" s="324"/>
      <c r="G99" s="328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</row>
    <row r="100" spans="1:19" s="114" customFormat="1" ht="39.950000000000003" customHeight="1" x14ac:dyDescent="0.2">
      <c r="A100" s="156">
        <f>+A96+1</f>
        <v>47</v>
      </c>
      <c r="B100" s="157" t="s">
        <v>355</v>
      </c>
      <c r="C100" s="130" t="s">
        <v>335</v>
      </c>
      <c r="D100" s="153" t="s">
        <v>574</v>
      </c>
      <c r="E100" s="153" t="s">
        <v>179</v>
      </c>
      <c r="F100" s="174" t="s">
        <v>609</v>
      </c>
      <c r="G100" s="174" t="s">
        <v>650</v>
      </c>
      <c r="H100" s="159">
        <v>80000</v>
      </c>
      <c r="I100" s="116">
        <f>H100*2.87%</f>
        <v>2296</v>
      </c>
      <c r="J100" s="116">
        <f>+H100*3.04%</f>
        <v>2432</v>
      </c>
      <c r="K100" s="116"/>
      <c r="L100" s="116">
        <f>+J100+I100+K100</f>
        <v>4728</v>
      </c>
      <c r="M100" s="116">
        <f>+H100-L100</f>
        <v>75272</v>
      </c>
      <c r="N100" s="116">
        <f>+IF(M100*12&lt;=416220.01,0,IF(M100*12&lt;=624329.01,(((M100*12-416220.01)*0.15)/12),IF((M100*12&lt;=867123.01),(31216+0.2*(M100*12-624329.01))/12,((79776+0.25*(M100*12-867123.01))/12))))</f>
        <v>7400.9372916666662</v>
      </c>
      <c r="O100" s="116"/>
      <c r="P100" s="155">
        <v>225</v>
      </c>
      <c r="Q100" s="116">
        <f>+P100+N100+L100</f>
        <v>12353.937291666665</v>
      </c>
      <c r="R100" s="159">
        <f>+H100-Q100</f>
        <v>67646.062708333338</v>
      </c>
      <c r="S100" s="169"/>
    </row>
    <row r="101" spans="1:19" s="114" customFormat="1" ht="39.950000000000003" customHeight="1" x14ac:dyDescent="0.2">
      <c r="A101" s="385" t="s">
        <v>99</v>
      </c>
      <c r="B101" s="386"/>
      <c r="C101" s="100"/>
      <c r="D101" s="100"/>
      <c r="E101" s="100"/>
      <c r="F101" s="325"/>
      <c r="G101" s="325"/>
      <c r="H101" s="101">
        <f>SUM(H100)</f>
        <v>80000</v>
      </c>
      <c r="I101" s="101">
        <f t="shared" ref="I101:R101" si="43">SUM(I100)</f>
        <v>2296</v>
      </c>
      <c r="J101" s="101">
        <f t="shared" si="43"/>
        <v>2432</v>
      </c>
      <c r="K101" s="101">
        <f t="shared" si="43"/>
        <v>0</v>
      </c>
      <c r="L101" s="101">
        <f t="shared" si="43"/>
        <v>4728</v>
      </c>
      <c r="M101" s="101">
        <f t="shared" si="43"/>
        <v>75272</v>
      </c>
      <c r="N101" s="101">
        <f t="shared" si="43"/>
        <v>7400.9372916666662</v>
      </c>
      <c r="O101" s="101">
        <f t="shared" si="43"/>
        <v>0</v>
      </c>
      <c r="P101" s="101">
        <f t="shared" si="43"/>
        <v>225</v>
      </c>
      <c r="Q101" s="101">
        <f t="shared" si="43"/>
        <v>12353.937291666665</v>
      </c>
      <c r="R101" s="101">
        <f t="shared" si="43"/>
        <v>67646.062708333338</v>
      </c>
      <c r="S101" s="169"/>
    </row>
    <row r="102" spans="1:19" s="114" customFormat="1" ht="39.950000000000003" customHeight="1" thickBot="1" x14ac:dyDescent="0.25">
      <c r="A102" s="168"/>
      <c r="B102" s="168"/>
      <c r="C102" s="168"/>
      <c r="D102" s="168"/>
      <c r="E102" s="168"/>
      <c r="F102" s="173"/>
      <c r="G102" s="173"/>
      <c r="S102" s="169"/>
    </row>
    <row r="103" spans="1:19" s="114" customFormat="1" ht="39.950000000000003" customHeight="1" thickBot="1" x14ac:dyDescent="0.25">
      <c r="A103" s="150" t="s">
        <v>136</v>
      </c>
      <c r="B103" s="151"/>
      <c r="C103" s="151"/>
      <c r="D103" s="151"/>
      <c r="E103" s="151"/>
      <c r="F103" s="324"/>
      <c r="G103" s="324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69"/>
    </row>
    <row r="104" spans="1:19" s="98" customFormat="1" ht="39.950000000000003" customHeight="1" x14ac:dyDescent="0.2">
      <c r="A104" s="156">
        <f>+A100+1</f>
        <v>48</v>
      </c>
      <c r="B104" s="97" t="s">
        <v>345</v>
      </c>
      <c r="C104" s="132" t="s">
        <v>336</v>
      </c>
      <c r="D104" s="174" t="s">
        <v>574</v>
      </c>
      <c r="E104" s="174" t="s">
        <v>179</v>
      </c>
      <c r="F104" s="174" t="s">
        <v>610</v>
      </c>
      <c r="G104" s="174" t="s">
        <v>640</v>
      </c>
      <c r="H104" s="159">
        <v>85000</v>
      </c>
      <c r="I104" s="116">
        <f>H104*2.87%</f>
        <v>2439.5</v>
      </c>
      <c r="J104" s="116">
        <f>+H104*3.04%</f>
        <v>2584</v>
      </c>
      <c r="K104" s="116"/>
      <c r="L104" s="116">
        <f>+J104+I104+K104</f>
        <v>5023.5</v>
      </c>
      <c r="M104" s="116">
        <f>+H104-L104</f>
        <v>79976.5</v>
      </c>
      <c r="N104" s="116">
        <v>7732.86</v>
      </c>
      <c r="O104" s="116"/>
      <c r="P104" s="155">
        <v>5790.29</v>
      </c>
      <c r="Q104" s="116">
        <f>+P104+N104+L104</f>
        <v>18546.650000000001</v>
      </c>
      <c r="R104" s="159">
        <f>+H104-Q104</f>
        <v>66453.350000000006</v>
      </c>
    </row>
    <row r="105" spans="1:19" s="98" customFormat="1" ht="39.950000000000003" customHeight="1" x14ac:dyDescent="0.2">
      <c r="A105" s="156">
        <f>+A104+1</f>
        <v>49</v>
      </c>
      <c r="B105" s="97" t="s">
        <v>354</v>
      </c>
      <c r="C105" s="132" t="s">
        <v>336</v>
      </c>
      <c r="D105" s="174" t="s">
        <v>574</v>
      </c>
      <c r="E105" s="174" t="s">
        <v>179</v>
      </c>
      <c r="F105" s="174" t="s">
        <v>609</v>
      </c>
      <c r="G105" s="174" t="s">
        <v>650</v>
      </c>
      <c r="H105" s="159">
        <v>85000</v>
      </c>
      <c r="I105" s="116">
        <f>H105*2.87%</f>
        <v>2439.5</v>
      </c>
      <c r="J105" s="116">
        <f>+H105*3.04%</f>
        <v>2584</v>
      </c>
      <c r="K105" s="116"/>
      <c r="L105" s="116">
        <f>+J105+I105+K105</f>
        <v>5023.5</v>
      </c>
      <c r="M105" s="116">
        <f>+H105-L105</f>
        <v>79976.5</v>
      </c>
      <c r="N105" s="116">
        <v>892.91</v>
      </c>
      <c r="O105" s="116"/>
      <c r="P105" s="155">
        <f>125+100</f>
        <v>225</v>
      </c>
      <c r="Q105" s="116">
        <f>+P105+N105+L105</f>
        <v>6141.41</v>
      </c>
      <c r="R105" s="159">
        <f>+H105-Q105</f>
        <v>78858.59</v>
      </c>
    </row>
    <row r="106" spans="1:19" s="114" customFormat="1" ht="39.950000000000003" customHeight="1" x14ac:dyDescent="0.2">
      <c r="A106" s="156">
        <f>+A105+1</f>
        <v>50</v>
      </c>
      <c r="B106" s="97" t="s">
        <v>510</v>
      </c>
      <c r="C106" s="132" t="s">
        <v>336</v>
      </c>
      <c r="D106" s="174" t="s">
        <v>574</v>
      </c>
      <c r="E106" s="174" t="s">
        <v>179</v>
      </c>
      <c r="F106" s="174" t="s">
        <v>620</v>
      </c>
      <c r="G106" s="174" t="s">
        <v>652</v>
      </c>
      <c r="H106" s="159">
        <v>80000</v>
      </c>
      <c r="I106" s="116">
        <f>H106*2.87%</f>
        <v>2296</v>
      </c>
      <c r="J106" s="116">
        <f>+H106*3.04%</f>
        <v>2432</v>
      </c>
      <c r="K106" s="116"/>
      <c r="L106" s="116">
        <f>+J106+I106+K106</f>
        <v>4728</v>
      </c>
      <c r="M106" s="116">
        <f>+H106-L106</f>
        <v>75272</v>
      </c>
      <c r="N106" s="116">
        <f t="shared" ref="N106:N107" si="44">+IF(M106*12&lt;=416220.01,0,IF(M106*12&lt;=624329.01,(((M106*12-416220.01)*0.15)/12),IF((M106*12&lt;=867123.01),(31216+0.2*(M106*12-624329.01))/12,((79776+0.25*(M106*12-867123.01))/12))))</f>
        <v>7400.9372916666662</v>
      </c>
      <c r="O106" s="116"/>
      <c r="P106" s="155">
        <v>2330.29</v>
      </c>
      <c r="Q106" s="116">
        <f>+P106+N106+L106</f>
        <v>14459.227291666666</v>
      </c>
      <c r="R106" s="159">
        <f>+H106-Q106</f>
        <v>65540.77270833333</v>
      </c>
      <c r="S106" s="169"/>
    </row>
    <row r="107" spans="1:19" s="114" customFormat="1" ht="39.950000000000003" customHeight="1" x14ac:dyDescent="0.2">
      <c r="A107" s="156">
        <f>+A106+1</f>
        <v>51</v>
      </c>
      <c r="B107" s="97" t="s">
        <v>417</v>
      </c>
      <c r="C107" s="132" t="s">
        <v>335</v>
      </c>
      <c r="D107" s="174" t="s">
        <v>574</v>
      </c>
      <c r="E107" s="174" t="s">
        <v>179</v>
      </c>
      <c r="F107" s="322" t="s">
        <v>588</v>
      </c>
      <c r="G107" s="322" t="s">
        <v>623</v>
      </c>
      <c r="H107" s="159">
        <v>80000</v>
      </c>
      <c r="I107" s="116">
        <f>H107*2.87%</f>
        <v>2296</v>
      </c>
      <c r="J107" s="116">
        <f>+H107*3.04%</f>
        <v>2432</v>
      </c>
      <c r="K107" s="116"/>
      <c r="L107" s="116">
        <f>+J107+I107+K107</f>
        <v>4728</v>
      </c>
      <c r="M107" s="116">
        <f>+H107-L107</f>
        <v>75272</v>
      </c>
      <c r="N107" s="116">
        <f t="shared" si="44"/>
        <v>7400.9372916666662</v>
      </c>
      <c r="O107" s="116"/>
      <c r="P107" s="155">
        <v>25</v>
      </c>
      <c r="Q107" s="116">
        <f>+P107+N107+L107</f>
        <v>12153.937291666665</v>
      </c>
      <c r="R107" s="159">
        <f>+H107-Q107</f>
        <v>67846.062708333338</v>
      </c>
      <c r="S107" s="169"/>
    </row>
    <row r="108" spans="1:19" s="111" customFormat="1" ht="39.950000000000003" customHeight="1" thickBot="1" x14ac:dyDescent="0.25">
      <c r="A108" s="388" t="s">
        <v>99</v>
      </c>
      <c r="B108" s="389"/>
      <c r="C108" s="100"/>
      <c r="D108" s="100"/>
      <c r="E108" s="100"/>
      <c r="F108" s="325"/>
      <c r="G108" s="325"/>
      <c r="H108" s="101">
        <f>SUM(H104:H107)</f>
        <v>330000</v>
      </c>
      <c r="I108" s="101">
        <f t="shared" ref="I108:R108" si="45">SUM(I104:I107)</f>
        <v>9471</v>
      </c>
      <c r="J108" s="101">
        <f t="shared" si="45"/>
        <v>10032</v>
      </c>
      <c r="K108" s="101">
        <f t="shared" si="45"/>
        <v>0</v>
      </c>
      <c r="L108" s="101">
        <f t="shared" si="45"/>
        <v>19503</v>
      </c>
      <c r="M108" s="101">
        <f t="shared" si="45"/>
        <v>310497</v>
      </c>
      <c r="N108" s="101">
        <f>SUM(N104:N107)</f>
        <v>23427.644583333331</v>
      </c>
      <c r="O108" s="101">
        <f t="shared" si="45"/>
        <v>0</v>
      </c>
      <c r="P108" s="101">
        <f t="shared" si="45"/>
        <v>8370.58</v>
      </c>
      <c r="Q108" s="101">
        <f t="shared" si="45"/>
        <v>51301.224583333329</v>
      </c>
      <c r="R108" s="101">
        <f t="shared" si="45"/>
        <v>278698.77541666664</v>
      </c>
      <c r="S108" s="115"/>
    </row>
    <row r="109" spans="1:19" s="111" customFormat="1" ht="39.950000000000003" customHeight="1" thickBot="1" x14ac:dyDescent="0.25">
      <c r="A109" s="150" t="s">
        <v>137</v>
      </c>
      <c r="B109" s="151"/>
      <c r="C109" s="151"/>
      <c r="D109" s="151"/>
      <c r="E109" s="151"/>
      <c r="F109" s="324"/>
      <c r="G109" s="324"/>
      <c r="H109" s="151"/>
      <c r="I109" s="151"/>
      <c r="J109" s="151"/>
      <c r="K109" s="151"/>
      <c r="L109" s="151"/>
      <c r="M109" s="151"/>
      <c r="N109" s="151"/>
      <c r="O109" s="151"/>
      <c r="P109" s="151"/>
      <c r="Q109" s="151"/>
      <c r="R109" s="151"/>
      <c r="S109" s="115"/>
    </row>
    <row r="110" spans="1:19" s="98" customFormat="1" ht="39.950000000000003" customHeight="1" x14ac:dyDescent="0.2">
      <c r="A110" s="152">
        <f>+A107+1</f>
        <v>52</v>
      </c>
      <c r="B110" s="105" t="s">
        <v>421</v>
      </c>
      <c r="C110" s="130" t="s">
        <v>335</v>
      </c>
      <c r="D110" s="153" t="s">
        <v>574</v>
      </c>
      <c r="E110" s="153" t="s">
        <v>179</v>
      </c>
      <c r="F110" s="174" t="s">
        <v>610</v>
      </c>
      <c r="G110" s="174" t="s">
        <v>640</v>
      </c>
      <c r="H110" s="159">
        <v>80000</v>
      </c>
      <c r="I110" s="116">
        <f>H110*2.87%</f>
        <v>2296</v>
      </c>
      <c r="J110" s="116">
        <f>+H110*3.04%</f>
        <v>2432</v>
      </c>
      <c r="K110" s="116"/>
      <c r="L110" s="116">
        <f>+J110+I110+K110</f>
        <v>4728</v>
      </c>
      <c r="M110" s="116">
        <f>+H110-L110</f>
        <v>75272</v>
      </c>
      <c r="N110" s="116">
        <f t="shared" ref="N110:N111" si="46">+IF(M110*12&lt;=416220.01,0,IF(M110*12&lt;=624329.01,(((M110*12-416220.01)*0.15)/12),IF((M110*12&lt;=867123.01),(31216+0.2*(M110*12-624329.01))/12,((79776+0.25*(M110*12-867123.01))/12))))</f>
        <v>7400.9372916666662</v>
      </c>
      <c r="O110" s="116">
        <v>0</v>
      </c>
      <c r="P110" s="155">
        <v>25</v>
      </c>
      <c r="Q110" s="116">
        <f>+P110+N110+L110</f>
        <v>12153.937291666665</v>
      </c>
      <c r="R110" s="159">
        <f>+H110-Q110</f>
        <v>67846.062708333338</v>
      </c>
    </row>
    <row r="111" spans="1:19" s="98" customFormat="1" ht="39.950000000000003" customHeight="1" x14ac:dyDescent="0.2">
      <c r="A111" s="152">
        <f>+A110+1</f>
        <v>53</v>
      </c>
      <c r="B111" s="105" t="s">
        <v>628</v>
      </c>
      <c r="C111" s="130" t="s">
        <v>336</v>
      </c>
      <c r="D111" s="153" t="s">
        <v>621</v>
      </c>
      <c r="E111" s="153" t="s">
        <v>179</v>
      </c>
      <c r="F111" s="154" t="s">
        <v>599</v>
      </c>
      <c r="G111" s="154" t="s">
        <v>630</v>
      </c>
      <c r="H111" s="159">
        <v>50000</v>
      </c>
      <c r="I111" s="116">
        <f>H111*2.87%</f>
        <v>1435</v>
      </c>
      <c r="J111" s="116">
        <f>+H111*3.04%</f>
        <v>1520</v>
      </c>
      <c r="K111" s="116"/>
      <c r="L111" s="116">
        <f>+J111+I111+K111</f>
        <v>2955</v>
      </c>
      <c r="M111" s="116">
        <f>+H111-L111</f>
        <v>47045</v>
      </c>
      <c r="N111" s="116">
        <f t="shared" si="46"/>
        <v>1853.9998749999997</v>
      </c>
      <c r="O111" s="116"/>
      <c r="P111" s="155">
        <v>25</v>
      </c>
      <c r="Q111" s="318">
        <f>+P111+N111+L111</f>
        <v>4833.9998749999995</v>
      </c>
      <c r="R111" s="159">
        <f>+H111-Q111</f>
        <v>45166.000124999999</v>
      </c>
    </row>
    <row r="112" spans="1:19" s="98" customFormat="1" ht="39.950000000000003" customHeight="1" thickBot="1" x14ac:dyDescent="0.25">
      <c r="A112" s="385" t="s">
        <v>99</v>
      </c>
      <c r="B112" s="386"/>
      <c r="C112" s="100"/>
      <c r="D112" s="100"/>
      <c r="E112" s="100"/>
      <c r="F112" s="325"/>
      <c r="G112" s="325"/>
      <c r="H112" s="101">
        <f t="shared" ref="H112:Q112" si="47">SUM(H110:H111)</f>
        <v>130000</v>
      </c>
      <c r="I112" s="101">
        <f t="shared" si="47"/>
        <v>3731</v>
      </c>
      <c r="J112" s="101">
        <f t="shared" si="47"/>
        <v>3952</v>
      </c>
      <c r="K112" s="101">
        <f t="shared" si="47"/>
        <v>0</v>
      </c>
      <c r="L112" s="101">
        <f t="shared" si="47"/>
        <v>7683</v>
      </c>
      <c r="M112" s="101">
        <f t="shared" si="47"/>
        <v>122317</v>
      </c>
      <c r="N112" s="101">
        <f t="shared" si="47"/>
        <v>9254.9371666666666</v>
      </c>
      <c r="O112" s="101">
        <f t="shared" si="47"/>
        <v>0</v>
      </c>
      <c r="P112" s="101">
        <f t="shared" si="47"/>
        <v>50</v>
      </c>
      <c r="Q112" s="101">
        <f t="shared" si="47"/>
        <v>16987.937166666663</v>
      </c>
      <c r="R112" s="101">
        <f>SUM(R110:R111)</f>
        <v>113012.06283333333</v>
      </c>
    </row>
    <row r="113" spans="1:19" s="111" customFormat="1" ht="39.950000000000003" customHeight="1" thickBot="1" x14ac:dyDescent="0.25">
      <c r="A113" s="171" t="s">
        <v>138</v>
      </c>
      <c r="B113" s="172"/>
      <c r="C113" s="172"/>
      <c r="D113" s="172"/>
      <c r="E113" s="172"/>
      <c r="F113" s="185"/>
      <c r="G113" s="329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15"/>
    </row>
    <row r="114" spans="1:19" s="111" customFormat="1" ht="39.950000000000003" customHeight="1" x14ac:dyDescent="0.2">
      <c r="A114" s="301">
        <f>+A111+1</f>
        <v>54</v>
      </c>
      <c r="B114" s="157" t="s">
        <v>524</v>
      </c>
      <c r="C114" s="130" t="s">
        <v>335</v>
      </c>
      <c r="D114" s="153" t="s">
        <v>574</v>
      </c>
      <c r="E114" s="153" t="s">
        <v>179</v>
      </c>
      <c r="F114" s="322" t="s">
        <v>588</v>
      </c>
      <c r="G114" s="322" t="s">
        <v>623</v>
      </c>
      <c r="H114" s="159">
        <v>80000</v>
      </c>
      <c r="I114" s="116">
        <f>H114*2.87%</f>
        <v>2296</v>
      </c>
      <c r="J114" s="116">
        <f>+H114*3.04%</f>
        <v>2432</v>
      </c>
      <c r="K114" s="116">
        <v>1919.78</v>
      </c>
      <c r="L114" s="116">
        <f>+J114+I114+K114</f>
        <v>6647.78</v>
      </c>
      <c r="M114" s="116">
        <f>+H114-L114</f>
        <v>73352.22</v>
      </c>
      <c r="N114" s="116">
        <f t="shared" ref="N114" si="48">+IF(M114*12&lt;=416220.01,0,IF(M114*12&lt;=624329.01,(((M114*12-416220.01)*0.15)/12),IF((M114*12&lt;=867123.01),(31216+0.2*(M114*12-624329.01))/12,((79776+0.25*(M114*12-867123.01))/12))))</f>
        <v>6920.9922916666665</v>
      </c>
      <c r="O114" s="116"/>
      <c r="P114" s="159">
        <v>225</v>
      </c>
      <c r="Q114" s="116">
        <f>+P114+N114+L114</f>
        <v>13793.772291666666</v>
      </c>
      <c r="R114" s="159">
        <f>+H114-Q114</f>
        <v>66206.227708333332</v>
      </c>
      <c r="S114" s="115"/>
    </row>
    <row r="115" spans="1:19" s="111" customFormat="1" ht="39.950000000000003" customHeight="1" x14ac:dyDescent="0.2">
      <c r="A115" s="385" t="s">
        <v>99</v>
      </c>
      <c r="B115" s="386"/>
      <c r="C115" s="100"/>
      <c r="D115" s="100"/>
      <c r="E115" s="100"/>
      <c r="F115" s="325"/>
      <c r="G115" s="325"/>
      <c r="H115" s="101">
        <f t="shared" ref="H115:R115" si="49">SUM(H114:H114)</f>
        <v>80000</v>
      </c>
      <c r="I115" s="101">
        <f t="shared" si="49"/>
        <v>2296</v>
      </c>
      <c r="J115" s="101">
        <f t="shared" si="49"/>
        <v>2432</v>
      </c>
      <c r="K115" s="101">
        <f t="shared" si="49"/>
        <v>1919.78</v>
      </c>
      <c r="L115" s="101">
        <f t="shared" si="49"/>
        <v>6647.78</v>
      </c>
      <c r="M115" s="101">
        <f t="shared" si="49"/>
        <v>73352.22</v>
      </c>
      <c r="N115" s="101">
        <f t="shared" si="49"/>
        <v>6920.9922916666665</v>
      </c>
      <c r="O115" s="101">
        <f t="shared" si="49"/>
        <v>0</v>
      </c>
      <c r="P115" s="101">
        <f t="shared" si="49"/>
        <v>225</v>
      </c>
      <c r="Q115" s="101">
        <f t="shared" si="49"/>
        <v>13793.772291666666</v>
      </c>
      <c r="R115" s="101">
        <f t="shared" si="49"/>
        <v>66206.227708333332</v>
      </c>
      <c r="S115" s="115"/>
    </row>
    <row r="116" spans="1:19" s="111" customFormat="1" ht="39.950000000000003" customHeight="1" thickBot="1" x14ac:dyDescent="0.25">
      <c r="A116" s="168"/>
      <c r="B116" s="168"/>
      <c r="C116" s="168"/>
      <c r="D116" s="168"/>
      <c r="E116" s="168"/>
      <c r="F116" s="173"/>
      <c r="G116" s="173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5"/>
    </row>
    <row r="117" spans="1:19" s="111" customFormat="1" ht="39.950000000000003" customHeight="1" thickBot="1" x14ac:dyDescent="0.25">
      <c r="A117" s="171" t="s">
        <v>141</v>
      </c>
      <c r="B117" s="172"/>
      <c r="C117" s="172"/>
      <c r="D117" s="172"/>
      <c r="E117" s="172"/>
      <c r="F117" s="185"/>
      <c r="G117" s="185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15"/>
    </row>
    <row r="118" spans="1:19" s="111" customFormat="1" ht="39.950000000000003" customHeight="1" x14ac:dyDescent="0.2">
      <c r="A118" s="152">
        <f>+A114+1</f>
        <v>55</v>
      </c>
      <c r="B118" s="157" t="s">
        <v>110</v>
      </c>
      <c r="C118" s="130" t="s">
        <v>335</v>
      </c>
      <c r="D118" s="142" t="s">
        <v>169</v>
      </c>
      <c r="E118" s="153" t="s">
        <v>179</v>
      </c>
      <c r="F118" s="154" t="s">
        <v>599</v>
      </c>
      <c r="G118" s="154" t="s">
        <v>630</v>
      </c>
      <c r="H118" s="164">
        <v>155000</v>
      </c>
      <c r="I118" s="116">
        <f>H118*2.87%</f>
        <v>4448.5</v>
      </c>
      <c r="J118" s="118">
        <f>+H118*3.04%</f>
        <v>4712</v>
      </c>
      <c r="K118" s="118">
        <v>1919.78</v>
      </c>
      <c r="L118" s="118">
        <f>+J118+I118+K118</f>
        <v>11080.28</v>
      </c>
      <c r="M118" s="116">
        <f>+H118-L118</f>
        <v>143919.72</v>
      </c>
      <c r="N118" s="116">
        <f>+IF(M118*12&lt;=416220.01,0,IF(M118*12&lt;=624329.01,(((M118*12-416220.01)*0.15)/12),IF((M118*12&lt;=867123.01),(31216+0.2*(M118*12-624329.01))/12,((79776+0.25*(M118*12-867123.01))/12))))</f>
        <v>24562.867291666669</v>
      </c>
      <c r="O118" s="116"/>
      <c r="P118" s="116">
        <v>10257.290000000001</v>
      </c>
      <c r="Q118" s="116">
        <f>+P118+N118+L118</f>
        <v>45900.437291666669</v>
      </c>
      <c r="R118" s="159">
        <f>+H118-Q118</f>
        <v>109099.56270833334</v>
      </c>
      <c r="S118" s="115"/>
    </row>
    <row r="119" spans="1:19" s="111" customFormat="1" ht="39.950000000000003" customHeight="1" x14ac:dyDescent="0.2">
      <c r="A119" s="152">
        <f>+A118+1</f>
        <v>56</v>
      </c>
      <c r="B119" s="157" t="s">
        <v>629</v>
      </c>
      <c r="C119" s="130" t="s">
        <v>336</v>
      </c>
      <c r="D119" s="142" t="s">
        <v>580</v>
      </c>
      <c r="E119" s="153" t="s">
        <v>179</v>
      </c>
      <c r="F119" s="154" t="s">
        <v>599</v>
      </c>
      <c r="G119" s="154" t="s">
        <v>630</v>
      </c>
      <c r="H119" s="164">
        <v>80000</v>
      </c>
      <c r="I119" s="116">
        <f>H119*2.87%</f>
        <v>2296</v>
      </c>
      <c r="J119" s="118">
        <f>+H119*3.04%</f>
        <v>2432</v>
      </c>
      <c r="K119" s="118">
        <v>0</v>
      </c>
      <c r="L119" s="118">
        <f>+J119+I119+K119</f>
        <v>4728</v>
      </c>
      <c r="M119" s="116">
        <f>+H119-L119</f>
        <v>75272</v>
      </c>
      <c r="N119" s="116">
        <f>+IF(M119*12&lt;=416220.01,0,IF(M119*12&lt;=624329.01,(((M119*12-416220.01)*0.15)/12),IF((M119*12&lt;=867123.01),(31216+0.2*(M119*12-624329.01))/12,((79776+0.25*(M119*12-867123.01))/12))))</f>
        <v>7400.9372916666662</v>
      </c>
      <c r="O119" s="116"/>
      <c r="P119" s="116">
        <v>225</v>
      </c>
      <c r="Q119" s="116">
        <f>+P119+N119+L119</f>
        <v>12353.937291666665</v>
      </c>
      <c r="R119" s="159">
        <f>+H119-Q119</f>
        <v>67646.062708333338</v>
      </c>
      <c r="S119" s="115"/>
    </row>
    <row r="120" spans="1:19" s="111" customFormat="1" ht="39.950000000000003" customHeight="1" thickBot="1" x14ac:dyDescent="0.25">
      <c r="A120" s="385" t="s">
        <v>99</v>
      </c>
      <c r="B120" s="386"/>
      <c r="C120" s="100"/>
      <c r="D120" s="100"/>
      <c r="E120" s="100"/>
      <c r="F120" s="325"/>
      <c r="G120" s="325"/>
      <c r="H120" s="101">
        <f>SUM(H118:H119)</f>
        <v>235000</v>
      </c>
      <c r="I120" s="101">
        <f t="shared" ref="I120:R120" si="50">SUM(I118:I119)</f>
        <v>6744.5</v>
      </c>
      <c r="J120" s="101">
        <f t="shared" si="50"/>
        <v>7144</v>
      </c>
      <c r="K120" s="101">
        <f t="shared" si="50"/>
        <v>1919.78</v>
      </c>
      <c r="L120" s="101">
        <f t="shared" si="50"/>
        <v>15808.28</v>
      </c>
      <c r="M120" s="101">
        <f t="shared" si="50"/>
        <v>219191.72</v>
      </c>
      <c r="N120" s="101">
        <f t="shared" si="50"/>
        <v>31963.804583333334</v>
      </c>
      <c r="O120" s="101">
        <f t="shared" si="50"/>
        <v>0</v>
      </c>
      <c r="P120" s="101">
        <f t="shared" si="50"/>
        <v>10482.290000000001</v>
      </c>
      <c r="Q120" s="101">
        <f t="shared" si="50"/>
        <v>58254.374583333338</v>
      </c>
      <c r="R120" s="101">
        <f t="shared" si="50"/>
        <v>176745.62541666668</v>
      </c>
      <c r="S120" s="115"/>
    </row>
    <row r="121" spans="1:19" s="111" customFormat="1" ht="39.950000000000003" customHeight="1" thickBot="1" x14ac:dyDescent="0.25">
      <c r="A121" s="171" t="s">
        <v>143</v>
      </c>
      <c r="B121" s="172"/>
      <c r="C121" s="172"/>
      <c r="D121" s="172"/>
      <c r="E121" s="172"/>
      <c r="F121" s="185"/>
      <c r="G121" s="329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15"/>
    </row>
    <row r="122" spans="1:19" s="111" customFormat="1" ht="39.950000000000003" customHeight="1" x14ac:dyDescent="0.2">
      <c r="A122" s="156">
        <f>+A119+1</f>
        <v>57</v>
      </c>
      <c r="B122" s="177" t="s">
        <v>448</v>
      </c>
      <c r="C122" s="132" t="s">
        <v>336</v>
      </c>
      <c r="D122" s="139" t="s">
        <v>580</v>
      </c>
      <c r="E122" s="174" t="s">
        <v>179</v>
      </c>
      <c r="F122" s="174" t="s">
        <v>609</v>
      </c>
      <c r="G122" s="174" t="s">
        <v>650</v>
      </c>
      <c r="H122" s="164">
        <v>80000</v>
      </c>
      <c r="I122" s="116">
        <f>H122*2.87%</f>
        <v>2296</v>
      </c>
      <c r="J122" s="116">
        <f>+H122*3.04%</f>
        <v>2432</v>
      </c>
      <c r="K122" s="116"/>
      <c r="L122" s="116">
        <f>+J122+I122+K122</f>
        <v>4728</v>
      </c>
      <c r="M122" s="116">
        <f>+H122-L122</f>
        <v>75272</v>
      </c>
      <c r="N122" s="116">
        <f>+IF(M122*12&lt;=416220.01,0,IF(M122*12&lt;=624329.01,(((M122*12-416220.01)*0.15)/12),IF((M122*12&lt;=867123.01),(31216+0.2*(M122*12-624329.01))/12,((79776+0.25*(M122*12-867123.01))/12))))-O122</f>
        <v>7400.9372916666662</v>
      </c>
      <c r="O122" s="116"/>
      <c r="P122" s="155">
        <v>2870.29</v>
      </c>
      <c r="Q122" s="116">
        <f>+P122+N122+L122</f>
        <v>14999.227291666666</v>
      </c>
      <c r="R122" s="159">
        <f>+H122-Q122</f>
        <v>65000.77270833333</v>
      </c>
      <c r="S122" s="115"/>
    </row>
    <row r="123" spans="1:19" s="115" customFormat="1" ht="39.950000000000003" customHeight="1" thickBot="1" x14ac:dyDescent="0.25">
      <c r="A123" s="385" t="s">
        <v>99</v>
      </c>
      <c r="B123" s="386"/>
      <c r="C123" s="100"/>
      <c r="D123" s="100"/>
      <c r="E123" s="100"/>
      <c r="F123" s="325"/>
      <c r="G123" s="325"/>
      <c r="H123" s="101">
        <f t="shared" ref="H123:R123" si="51">SUM(H122:H122)</f>
        <v>80000</v>
      </c>
      <c r="I123" s="101">
        <f t="shared" si="51"/>
        <v>2296</v>
      </c>
      <c r="J123" s="101">
        <f t="shared" si="51"/>
        <v>2432</v>
      </c>
      <c r="K123" s="101">
        <f t="shared" si="51"/>
        <v>0</v>
      </c>
      <c r="L123" s="101">
        <f t="shared" si="51"/>
        <v>4728</v>
      </c>
      <c r="M123" s="101">
        <f t="shared" si="51"/>
        <v>75272</v>
      </c>
      <c r="N123" s="101">
        <f t="shared" si="51"/>
        <v>7400.9372916666662</v>
      </c>
      <c r="O123" s="101">
        <f t="shared" si="51"/>
        <v>0</v>
      </c>
      <c r="P123" s="101">
        <f t="shared" si="51"/>
        <v>2870.29</v>
      </c>
      <c r="Q123" s="101">
        <f t="shared" si="51"/>
        <v>14999.227291666666</v>
      </c>
      <c r="R123" s="101">
        <f t="shared" si="51"/>
        <v>65000.77270833333</v>
      </c>
    </row>
    <row r="124" spans="1:19" s="169" customFormat="1" ht="39.950000000000003" customHeight="1" thickBot="1" x14ac:dyDescent="0.25">
      <c r="A124" s="171" t="s">
        <v>366</v>
      </c>
      <c r="B124" s="172"/>
      <c r="C124" s="172"/>
      <c r="D124" s="172"/>
      <c r="E124" s="172"/>
      <c r="F124" s="185"/>
      <c r="G124" s="185"/>
      <c r="H124" s="172"/>
      <c r="I124" s="172"/>
      <c r="J124" s="172"/>
      <c r="K124" s="172"/>
      <c r="L124" s="172"/>
      <c r="M124" s="172"/>
      <c r="N124" s="172"/>
      <c r="O124" s="172"/>
      <c r="P124" s="172"/>
      <c r="Q124" s="172"/>
      <c r="R124" s="172"/>
    </row>
    <row r="125" spans="1:19" s="114" customFormat="1" ht="39.950000000000003" customHeight="1" thickBot="1" x14ac:dyDescent="0.25">
      <c r="A125" s="171" t="s">
        <v>367</v>
      </c>
      <c r="B125" s="172"/>
      <c r="C125" s="172"/>
      <c r="D125" s="172"/>
      <c r="E125" s="172"/>
      <c r="F125" s="185"/>
      <c r="G125" s="185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69"/>
    </row>
    <row r="126" spans="1:19" s="114" customFormat="1" ht="39.950000000000003" customHeight="1" x14ac:dyDescent="0.2">
      <c r="A126" s="152">
        <f>+A122+1</f>
        <v>58</v>
      </c>
      <c r="B126" s="178" t="s">
        <v>379</v>
      </c>
      <c r="C126" s="130" t="s">
        <v>335</v>
      </c>
      <c r="D126" s="153" t="s">
        <v>392</v>
      </c>
      <c r="E126" s="153" t="s">
        <v>179</v>
      </c>
      <c r="F126" s="154" t="s">
        <v>599</v>
      </c>
      <c r="G126" s="154" t="s">
        <v>630</v>
      </c>
      <c r="H126" s="159">
        <v>190000</v>
      </c>
      <c r="I126" s="116">
        <f>H126*2.87%</f>
        <v>5453</v>
      </c>
      <c r="J126" s="116">
        <f>+H126*3.04%</f>
        <v>5776</v>
      </c>
      <c r="K126" s="116">
        <v>1919.78</v>
      </c>
      <c r="L126" s="116">
        <f>+J126+I126+K126</f>
        <v>13148.78</v>
      </c>
      <c r="M126" s="116">
        <f>+H126-L126</f>
        <v>176851.22</v>
      </c>
      <c r="N126" s="116">
        <f>+IF(M126*12&lt;=416220.01,0,IF(M126*12&lt;=624329.01,(((M126*12-416220.01)*0.15)/12),IF((M126*12&lt;=867123.01),(31216+0.2*(M126*12-624329.01))/12,((79776+0.25*(M126*12-867123.01))/12))))-O126</f>
        <v>32795.742291666669</v>
      </c>
      <c r="O126" s="116"/>
      <c r="P126" s="159">
        <v>25</v>
      </c>
      <c r="Q126" s="116">
        <f>+P126+N126+L126</f>
        <v>45969.522291666668</v>
      </c>
      <c r="R126" s="159">
        <f>+H126-Q126</f>
        <v>144030.47770833335</v>
      </c>
      <c r="S126" s="169"/>
    </row>
    <row r="127" spans="1:19" s="114" customFormat="1" ht="39.950000000000003" customHeight="1" x14ac:dyDescent="0.2">
      <c r="A127" s="156">
        <f>+A126+1</f>
        <v>59</v>
      </c>
      <c r="B127" s="283" t="s">
        <v>531</v>
      </c>
      <c r="C127" s="132" t="s">
        <v>336</v>
      </c>
      <c r="D127" s="174" t="s">
        <v>532</v>
      </c>
      <c r="E127" s="174" t="s">
        <v>179</v>
      </c>
      <c r="F127" s="174" t="s">
        <v>610</v>
      </c>
      <c r="G127" s="174" t="s">
        <v>640</v>
      </c>
      <c r="H127" s="155">
        <v>140000</v>
      </c>
      <c r="I127" s="116">
        <f>H127*2.87%</f>
        <v>4018</v>
      </c>
      <c r="J127" s="116">
        <f>+H127*3.04%</f>
        <v>4256</v>
      </c>
      <c r="K127" s="116">
        <v>1919.78</v>
      </c>
      <c r="L127" s="116">
        <f>+J127+I127+K127</f>
        <v>10193.780000000001</v>
      </c>
      <c r="M127" s="116">
        <f>+H127-L127</f>
        <v>129806.22</v>
      </c>
      <c r="N127" s="116">
        <f t="shared" ref="N127:N128" si="52">+IF(M127*12&lt;=416220.01,0,IF(M127*12&lt;=624329.01,(((M127*12-416220.01)*0.15)/12),IF((M127*12&lt;=867123.01),(31216+0.2*(M127*12-624329.01))/12,((79776+0.25*(M127*12-867123.01))/12))))-O127</f>
        <v>21034.492291666669</v>
      </c>
      <c r="O127" s="116"/>
      <c r="P127" s="159">
        <v>105</v>
      </c>
      <c r="Q127" s="118">
        <f>+P127+N127+L127</f>
        <v>31333.272291666668</v>
      </c>
      <c r="R127" s="159">
        <f>+H127-Q127</f>
        <v>108666.72770833333</v>
      </c>
      <c r="S127" s="169"/>
    </row>
    <row r="128" spans="1:19" s="114" customFormat="1" ht="39.950000000000003" customHeight="1" x14ac:dyDescent="0.2">
      <c r="A128" s="152">
        <f>+A127+1</f>
        <v>60</v>
      </c>
      <c r="B128" s="116" t="s">
        <v>170</v>
      </c>
      <c r="C128" s="130" t="s">
        <v>336</v>
      </c>
      <c r="D128" s="153" t="s">
        <v>580</v>
      </c>
      <c r="E128" s="153" t="s">
        <v>179</v>
      </c>
      <c r="F128" s="174" t="s">
        <v>610</v>
      </c>
      <c r="G128" s="174" t="s">
        <v>640</v>
      </c>
      <c r="H128" s="159">
        <v>80000</v>
      </c>
      <c r="I128" s="116">
        <f>H128*2.87%</f>
        <v>2296</v>
      </c>
      <c r="J128" s="116">
        <f>+H128*3.04%</f>
        <v>2432</v>
      </c>
      <c r="K128" s="116">
        <v>1919.78</v>
      </c>
      <c r="L128" s="116">
        <f>+J128+I128+K128</f>
        <v>6647.78</v>
      </c>
      <c r="M128" s="116">
        <f>+H128-L128</f>
        <v>73352.22</v>
      </c>
      <c r="N128" s="116">
        <f t="shared" si="52"/>
        <v>6920.9922916666665</v>
      </c>
      <c r="O128" s="116"/>
      <c r="P128" s="159">
        <v>3923.96</v>
      </c>
      <c r="Q128" s="116">
        <f>+P128+K128+J128+I128+N128</f>
        <v>17492.732291666667</v>
      </c>
      <c r="R128" s="159">
        <f>+H128-Q128</f>
        <v>62507.267708333333</v>
      </c>
      <c r="S128" s="169"/>
    </row>
    <row r="129" spans="1:19" s="114" customFormat="1" ht="39.950000000000003" customHeight="1" x14ac:dyDescent="0.2">
      <c r="A129" s="385" t="s">
        <v>99</v>
      </c>
      <c r="B129" s="386"/>
      <c r="C129" s="100"/>
      <c r="D129" s="100"/>
      <c r="E129" s="100"/>
      <c r="F129" s="325"/>
      <c r="G129" s="325"/>
      <c r="H129" s="101">
        <f t="shared" ref="H129:R129" si="53">SUM(H126:H128)</f>
        <v>410000</v>
      </c>
      <c r="I129" s="101">
        <f t="shared" si="53"/>
        <v>11767</v>
      </c>
      <c r="J129" s="101">
        <f t="shared" si="53"/>
        <v>12464</v>
      </c>
      <c r="K129" s="101">
        <f t="shared" si="53"/>
        <v>5759.34</v>
      </c>
      <c r="L129" s="101">
        <f t="shared" si="53"/>
        <v>29990.34</v>
      </c>
      <c r="M129" s="101">
        <f t="shared" si="53"/>
        <v>380009.66000000003</v>
      </c>
      <c r="N129" s="101">
        <f t="shared" si="53"/>
        <v>60751.226875000008</v>
      </c>
      <c r="O129" s="101">
        <f t="shared" si="53"/>
        <v>0</v>
      </c>
      <c r="P129" s="101">
        <f t="shared" si="53"/>
        <v>4053.96</v>
      </c>
      <c r="Q129" s="101">
        <f t="shared" si="53"/>
        <v>94795.52687500001</v>
      </c>
      <c r="R129" s="101">
        <f t="shared" si="53"/>
        <v>315204.47312500002</v>
      </c>
      <c r="S129" s="169"/>
    </row>
    <row r="130" spans="1:19" s="114" customFormat="1" ht="39.950000000000003" customHeight="1" x14ac:dyDescent="0.2">
      <c r="A130" s="168"/>
      <c r="B130" s="168"/>
      <c r="C130" s="168"/>
      <c r="D130" s="168"/>
      <c r="E130" s="168"/>
      <c r="F130" s="173"/>
      <c r="G130" s="173"/>
      <c r="S130" s="169"/>
    </row>
    <row r="131" spans="1:19" s="114" customFormat="1" ht="39.950000000000003" customHeight="1" thickBot="1" x14ac:dyDescent="0.25">
      <c r="A131" s="168"/>
      <c r="B131" s="168"/>
      <c r="C131" s="168"/>
      <c r="D131" s="168"/>
      <c r="E131" s="168"/>
      <c r="F131" s="173"/>
      <c r="G131" s="173"/>
      <c r="S131" s="169"/>
    </row>
    <row r="132" spans="1:19" s="114" customFormat="1" ht="39.950000000000003" customHeight="1" thickBot="1" x14ac:dyDescent="0.25">
      <c r="A132" s="171" t="s">
        <v>304</v>
      </c>
      <c r="B132" s="172"/>
      <c r="C132" s="172"/>
      <c r="D132" s="172"/>
      <c r="E132" s="172"/>
      <c r="F132" s="185"/>
      <c r="G132" s="185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69"/>
    </row>
    <row r="133" spans="1:19" s="114" customFormat="1" ht="39.950000000000003" customHeight="1" x14ac:dyDescent="0.2">
      <c r="A133" s="152">
        <f>+A128+1</f>
        <v>61</v>
      </c>
      <c r="B133" s="116" t="s">
        <v>547</v>
      </c>
      <c r="C133" s="130" t="s">
        <v>335</v>
      </c>
      <c r="D133" s="153" t="s">
        <v>105</v>
      </c>
      <c r="E133" s="153" t="s">
        <v>179</v>
      </c>
      <c r="F133" s="174" t="s">
        <v>620</v>
      </c>
      <c r="G133" s="174" t="s">
        <v>652</v>
      </c>
      <c r="H133" s="159">
        <v>50000</v>
      </c>
      <c r="I133" s="118">
        <f>H133*2.87%</f>
        <v>1435</v>
      </c>
      <c r="J133" s="118">
        <f>+H133*3.04%</f>
        <v>1520</v>
      </c>
      <c r="K133" s="118"/>
      <c r="L133" s="116">
        <f>+J133+I133+K133</f>
        <v>2955</v>
      </c>
      <c r="M133" s="116">
        <f>+H133-L133</f>
        <v>47045</v>
      </c>
      <c r="N133" s="116">
        <v>0</v>
      </c>
      <c r="O133" s="116"/>
      <c r="P133" s="155">
        <v>1290.29</v>
      </c>
      <c r="Q133" s="116">
        <f>+P133+N133+L133</f>
        <v>4245.29</v>
      </c>
      <c r="R133" s="155">
        <f>+H133-Q133</f>
        <v>45754.71</v>
      </c>
      <c r="S133" s="169"/>
    </row>
    <row r="134" spans="1:19" s="114" customFormat="1" ht="39.950000000000003" customHeight="1" x14ac:dyDescent="0.2">
      <c r="A134" s="152">
        <f>+A133+1</f>
        <v>62</v>
      </c>
      <c r="B134" s="116" t="s">
        <v>585</v>
      </c>
      <c r="C134" s="130" t="s">
        <v>336</v>
      </c>
      <c r="D134" s="153" t="s">
        <v>105</v>
      </c>
      <c r="E134" s="153" t="s">
        <v>179</v>
      </c>
      <c r="F134" s="322" t="s">
        <v>588</v>
      </c>
      <c r="G134" s="322" t="s">
        <v>623</v>
      </c>
      <c r="H134" s="159">
        <v>50000</v>
      </c>
      <c r="I134" s="118">
        <f>H134*2.87%</f>
        <v>1435</v>
      </c>
      <c r="J134" s="118">
        <f>+H134*3.04%</f>
        <v>1520</v>
      </c>
      <c r="K134" s="118"/>
      <c r="L134" s="116">
        <f>+J134+I134+K134</f>
        <v>2955</v>
      </c>
      <c r="M134" s="116">
        <f>+H134-L134</f>
        <v>47045</v>
      </c>
      <c r="N134" s="116">
        <v>0</v>
      </c>
      <c r="O134" s="116"/>
      <c r="P134" s="155">
        <v>2290.29</v>
      </c>
      <c r="Q134" s="116">
        <f>+P134+N134+L134</f>
        <v>5245.29</v>
      </c>
      <c r="R134" s="155">
        <f>+H134-Q134</f>
        <v>44754.71</v>
      </c>
      <c r="S134" s="169"/>
    </row>
    <row r="135" spans="1:19" s="111" customFormat="1" ht="39.950000000000003" customHeight="1" x14ac:dyDescent="0.2">
      <c r="A135" s="385" t="s">
        <v>99</v>
      </c>
      <c r="B135" s="386"/>
      <c r="C135" s="100"/>
      <c r="D135" s="100"/>
      <c r="E135" s="100"/>
      <c r="F135" s="325"/>
      <c r="G135" s="325"/>
      <c r="H135" s="101">
        <f t="shared" ref="H135:R135" si="54">SUM(H133:H134)</f>
        <v>100000</v>
      </c>
      <c r="I135" s="101">
        <f t="shared" si="54"/>
        <v>2870</v>
      </c>
      <c r="J135" s="101">
        <f t="shared" si="54"/>
        <v>3040</v>
      </c>
      <c r="K135" s="101">
        <f t="shared" si="54"/>
        <v>0</v>
      </c>
      <c r="L135" s="101">
        <f t="shared" si="54"/>
        <v>5910</v>
      </c>
      <c r="M135" s="101">
        <f t="shared" si="54"/>
        <v>94090</v>
      </c>
      <c r="N135" s="101">
        <f t="shared" si="54"/>
        <v>0</v>
      </c>
      <c r="O135" s="101">
        <f t="shared" si="54"/>
        <v>0</v>
      </c>
      <c r="P135" s="101">
        <f t="shared" si="54"/>
        <v>3580.58</v>
      </c>
      <c r="Q135" s="101">
        <f t="shared" si="54"/>
        <v>9490.58</v>
      </c>
      <c r="R135" s="101">
        <f t="shared" si="54"/>
        <v>90509.42</v>
      </c>
      <c r="S135" s="115"/>
    </row>
    <row r="136" spans="1:19" s="111" customFormat="1" ht="39.950000000000003" customHeight="1" thickBot="1" x14ac:dyDescent="0.25">
      <c r="A136" s="168"/>
      <c r="B136" s="168"/>
      <c r="C136" s="168"/>
      <c r="D136" s="168"/>
      <c r="E136" s="168"/>
      <c r="F136" s="173"/>
      <c r="G136" s="173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15"/>
    </row>
    <row r="137" spans="1:19" s="114" customFormat="1" ht="39.950000000000003" customHeight="1" thickBot="1" x14ac:dyDescent="0.25">
      <c r="A137" s="171" t="s">
        <v>304</v>
      </c>
      <c r="B137" s="172"/>
      <c r="C137" s="172"/>
      <c r="D137" s="172"/>
      <c r="E137" s="172"/>
      <c r="F137" s="185"/>
      <c r="G137" s="185"/>
      <c r="H137" s="172"/>
      <c r="I137" s="172"/>
      <c r="J137" s="172"/>
      <c r="K137" s="172"/>
      <c r="L137" s="172"/>
      <c r="M137" s="172"/>
      <c r="N137" s="172"/>
      <c r="O137" s="172"/>
      <c r="P137" s="172"/>
      <c r="Q137" s="172"/>
      <c r="R137" s="172"/>
      <c r="S137" s="169"/>
    </row>
    <row r="138" spans="1:19" s="114" customFormat="1" ht="39.950000000000003" customHeight="1" x14ac:dyDescent="0.2">
      <c r="A138" s="152" t="e">
        <f>+A137+1</f>
        <v>#VALUE!</v>
      </c>
      <c r="B138" s="116" t="s">
        <v>658</v>
      </c>
      <c r="C138" s="130" t="s">
        <v>336</v>
      </c>
      <c r="D138" s="153" t="s">
        <v>659</v>
      </c>
      <c r="E138" s="153" t="s">
        <v>179</v>
      </c>
      <c r="F138" s="174" t="s">
        <v>631</v>
      </c>
      <c r="G138" s="174" t="s">
        <v>663</v>
      </c>
      <c r="H138" s="159">
        <v>145000</v>
      </c>
      <c r="I138" s="118">
        <f>H138*2.87%</f>
        <v>4161.5</v>
      </c>
      <c r="J138" s="118">
        <f>+H138*3.04%</f>
        <v>4408</v>
      </c>
      <c r="K138" s="118"/>
      <c r="L138" s="116">
        <f>+J138+I138+K138</f>
        <v>8569.5</v>
      </c>
      <c r="M138" s="116">
        <f>+H138-L138</f>
        <v>136430.5</v>
      </c>
      <c r="N138" s="116">
        <v>22689.56</v>
      </c>
      <c r="O138" s="116"/>
      <c r="P138" s="155">
        <v>25</v>
      </c>
      <c r="Q138" s="116">
        <f>+P138+N138+L138</f>
        <v>31284.06</v>
      </c>
      <c r="R138" s="155">
        <f>+H138-Q138</f>
        <v>113715.94</v>
      </c>
      <c r="S138" s="169"/>
    </row>
    <row r="139" spans="1:19" s="114" customFormat="1" ht="39.950000000000003" customHeight="1" x14ac:dyDescent="0.2">
      <c r="A139" s="152">
        <f>+A134+1</f>
        <v>63</v>
      </c>
      <c r="B139" s="116" t="s">
        <v>396</v>
      </c>
      <c r="C139" s="130" t="s">
        <v>336</v>
      </c>
      <c r="D139" s="153" t="s">
        <v>614</v>
      </c>
      <c r="E139" s="153" t="s">
        <v>179</v>
      </c>
      <c r="F139" s="174" t="s">
        <v>609</v>
      </c>
      <c r="G139" s="174" t="s">
        <v>650</v>
      </c>
      <c r="H139" s="159">
        <v>80000</v>
      </c>
      <c r="I139" s="118">
        <f>H139*2.87%</f>
        <v>2296</v>
      </c>
      <c r="J139" s="118">
        <f>+H139*3.04%</f>
        <v>2432</v>
      </c>
      <c r="K139" s="118"/>
      <c r="L139" s="116">
        <f>+J139+I139+K139</f>
        <v>4728</v>
      </c>
      <c r="M139" s="116">
        <f>+H139-L139</f>
        <v>75272</v>
      </c>
      <c r="N139" s="116">
        <f>+IF(M139*12&lt;=416220.01,0,IF(M139*12&lt;=624329.01,(((M139*12-416220.01)*0.15)/12),IF((M139*12&lt;=867123.01),(31216+0.2*(M139*12-624329.01))/12,((79776+0.25*(M139*12-867123.01))/12))))-O139</f>
        <v>7400.9372916666662</v>
      </c>
      <c r="O139" s="116"/>
      <c r="P139" s="155">
        <v>225</v>
      </c>
      <c r="Q139" s="116">
        <f>+P139+N139+L139</f>
        <v>12353.937291666665</v>
      </c>
      <c r="R139" s="155">
        <f>+H139-Q139</f>
        <v>67646.062708333338</v>
      </c>
      <c r="S139" s="169"/>
    </row>
    <row r="140" spans="1:19" s="114" customFormat="1" ht="39.950000000000003" customHeight="1" x14ac:dyDescent="0.2">
      <c r="A140" s="152">
        <f>+A139+1</f>
        <v>64</v>
      </c>
      <c r="B140" s="116" t="s">
        <v>473</v>
      </c>
      <c r="C140" s="130" t="s">
        <v>336</v>
      </c>
      <c r="D140" s="153" t="s">
        <v>614</v>
      </c>
      <c r="E140" s="153" t="s">
        <v>179</v>
      </c>
      <c r="F140" s="174" t="s">
        <v>631</v>
      </c>
      <c r="G140" s="174" t="s">
        <v>663</v>
      </c>
      <c r="H140" s="159">
        <v>80000</v>
      </c>
      <c r="I140" s="118">
        <f>H140*2.87%</f>
        <v>2296</v>
      </c>
      <c r="J140" s="118">
        <f>+H140*3.04%</f>
        <v>2432</v>
      </c>
      <c r="K140" s="118">
        <v>1919.78</v>
      </c>
      <c r="L140" s="116">
        <f>+J140+I140+K140</f>
        <v>6647.78</v>
      </c>
      <c r="M140" s="116">
        <f>+H140-L140</f>
        <v>73352.22</v>
      </c>
      <c r="N140" s="116">
        <f>+IF(M140*12&lt;=416220.01,0,IF(M140*12&lt;=624329.01,(((M140*12-416220.01)*0.15)/12),IF((M140*12&lt;=867123.01),(31216+0.2*(M140*12-624329.01))/12,((79776+0.25*(M140*12-867123.01))/12))))-O140</f>
        <v>6920.9922916666665</v>
      </c>
      <c r="O140" s="116"/>
      <c r="P140" s="155">
        <v>25</v>
      </c>
      <c r="Q140" s="116">
        <f>+P140+N140+L140</f>
        <v>13593.772291666666</v>
      </c>
      <c r="R140" s="155">
        <f>+H140-Q140</f>
        <v>66406.227708333332</v>
      </c>
      <c r="S140" s="169"/>
    </row>
    <row r="141" spans="1:19" s="111" customFormat="1" ht="39.950000000000003" customHeight="1" x14ac:dyDescent="0.2">
      <c r="A141" s="385" t="s">
        <v>99</v>
      </c>
      <c r="B141" s="386"/>
      <c r="C141" s="100"/>
      <c r="D141" s="100"/>
      <c r="E141" s="100"/>
      <c r="F141" s="325"/>
      <c r="G141" s="325"/>
      <c r="H141" s="101">
        <f t="shared" ref="H141:N141" si="55">SUM(H138:H140)</f>
        <v>305000</v>
      </c>
      <c r="I141" s="101">
        <f t="shared" si="55"/>
        <v>8753.5</v>
      </c>
      <c r="J141" s="101">
        <f t="shared" si="55"/>
        <v>9272</v>
      </c>
      <c r="K141" s="101">
        <f t="shared" si="55"/>
        <v>1919.78</v>
      </c>
      <c r="L141" s="101">
        <f t="shared" si="55"/>
        <v>19945.28</v>
      </c>
      <c r="M141" s="101">
        <f t="shared" si="55"/>
        <v>285054.71999999997</v>
      </c>
      <c r="N141" s="101">
        <f t="shared" si="55"/>
        <v>37011.489583333336</v>
      </c>
      <c r="O141" s="101">
        <f t="shared" ref="O141" si="56">SUM(O139:O140)</f>
        <v>0</v>
      </c>
      <c r="P141" s="101">
        <f>SUM(P138:P140)</f>
        <v>275</v>
      </c>
      <c r="Q141" s="101">
        <f>SUM(Q138:Q140)</f>
        <v>57231.769583333335</v>
      </c>
      <c r="R141" s="101">
        <f>SUM(R138:R140)</f>
        <v>247768.23041666666</v>
      </c>
      <c r="S141" s="115"/>
    </row>
    <row r="142" spans="1:19" s="115" customFormat="1" ht="39.950000000000003" customHeight="1" thickBot="1" x14ac:dyDescent="0.25">
      <c r="A142" s="173"/>
      <c r="B142" s="173"/>
      <c r="C142" s="173"/>
      <c r="D142" s="173"/>
      <c r="E142" s="173"/>
      <c r="F142" s="173"/>
      <c r="G142" s="173"/>
      <c r="H142" s="169"/>
      <c r="I142" s="169"/>
      <c r="J142" s="169"/>
      <c r="K142" s="169"/>
      <c r="L142" s="169"/>
      <c r="M142" s="169"/>
      <c r="N142" s="169"/>
      <c r="O142" s="169"/>
      <c r="P142" s="169"/>
      <c r="Q142" s="169"/>
      <c r="R142" s="169"/>
    </row>
    <row r="143" spans="1:19" s="115" customFormat="1" ht="39.950000000000003" customHeight="1" x14ac:dyDescent="0.2">
      <c r="A143" s="179" t="s">
        <v>387</v>
      </c>
      <c r="B143" s="180"/>
      <c r="C143" s="180"/>
      <c r="D143" s="180"/>
      <c r="E143" s="180"/>
      <c r="F143" s="330"/>
      <c r="G143" s="33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</row>
    <row r="144" spans="1:19" s="115" customFormat="1" ht="39.950000000000003" customHeight="1" x14ac:dyDescent="0.2">
      <c r="A144" s="108">
        <f>+A140+1</f>
        <v>65</v>
      </c>
      <c r="B144" s="109" t="s">
        <v>395</v>
      </c>
      <c r="C144" s="103" t="s">
        <v>336</v>
      </c>
      <c r="D144" s="104" t="s">
        <v>71</v>
      </c>
      <c r="E144" s="102" t="s">
        <v>179</v>
      </c>
      <c r="F144" s="102" t="s">
        <v>609</v>
      </c>
      <c r="G144" s="102" t="s">
        <v>650</v>
      </c>
      <c r="H144" s="105">
        <v>100000</v>
      </c>
      <c r="I144" s="97">
        <f>H144*2.87%</f>
        <v>2870</v>
      </c>
      <c r="J144" s="97">
        <f>+H144*3.04%</f>
        <v>3040</v>
      </c>
      <c r="K144" s="97">
        <f>1919.78*2</f>
        <v>3839.56</v>
      </c>
      <c r="L144" s="105">
        <f>+J144+I144+K144</f>
        <v>9749.56</v>
      </c>
      <c r="M144" s="105">
        <f>+H144-L144</f>
        <v>90250.44</v>
      </c>
      <c r="N144" s="105">
        <v>7422.01</v>
      </c>
      <c r="O144" s="105"/>
      <c r="P144" s="117">
        <v>3240.18</v>
      </c>
      <c r="Q144" s="105">
        <f>+P144+N144+L144</f>
        <v>20411.75</v>
      </c>
      <c r="R144" s="162">
        <f>+H144-Q144</f>
        <v>79588.25</v>
      </c>
    </row>
    <row r="145" spans="1:19" s="115" customFormat="1" ht="39.950000000000003" customHeight="1" x14ac:dyDescent="0.2">
      <c r="A145" s="108">
        <f>+A144+1</f>
        <v>66</v>
      </c>
      <c r="B145" s="109" t="s">
        <v>474</v>
      </c>
      <c r="C145" s="103" t="s">
        <v>336</v>
      </c>
      <c r="D145" s="104" t="s">
        <v>555</v>
      </c>
      <c r="E145" s="102" t="s">
        <v>179</v>
      </c>
      <c r="F145" s="174" t="s">
        <v>631</v>
      </c>
      <c r="G145" s="174" t="s">
        <v>663</v>
      </c>
      <c r="H145" s="105">
        <v>90000</v>
      </c>
      <c r="I145" s="97">
        <f>H145*2.87%</f>
        <v>2583</v>
      </c>
      <c r="J145" s="97">
        <f>+H145*3.04%</f>
        <v>2736</v>
      </c>
      <c r="K145" s="97"/>
      <c r="L145" s="105">
        <f>+J145+I145+K145</f>
        <v>5319</v>
      </c>
      <c r="M145" s="105">
        <f>+H145-L145</f>
        <v>84681</v>
      </c>
      <c r="N145" s="116">
        <f>+IF(M145*12&lt;=416220.01,0,IF(M145*12&lt;=624329.01,(((M145*12-416220.01)*0.15)/12),IF((M145*12&lt;=867123.01),(31216+0.2*(M145*12-624329.01))/12,((79776+0.25*(M145*12-867123.01))/12))))-O145</f>
        <v>9753.1872916666671</v>
      </c>
      <c r="O145" s="105"/>
      <c r="P145" s="162">
        <v>25</v>
      </c>
      <c r="Q145" s="105">
        <f>+P145+N145+L145</f>
        <v>15097.187291666667</v>
      </c>
      <c r="R145" s="162">
        <f>+H145-Q145</f>
        <v>74902.812708333338</v>
      </c>
    </row>
    <row r="146" spans="1:19" s="115" customFormat="1" ht="39.950000000000003" customHeight="1" thickBot="1" x14ac:dyDescent="0.25">
      <c r="A146" s="385" t="s">
        <v>99</v>
      </c>
      <c r="B146" s="386"/>
      <c r="C146" s="100"/>
      <c r="D146" s="100"/>
      <c r="E146" s="100"/>
      <c r="F146" s="325"/>
      <c r="G146" s="325"/>
      <c r="H146" s="101">
        <f>SUM(H144:H145)</f>
        <v>190000</v>
      </c>
      <c r="I146" s="101">
        <f t="shared" ref="I146:R146" si="57">SUM(I144:I145)</f>
        <v>5453</v>
      </c>
      <c r="J146" s="101">
        <f t="shared" si="57"/>
        <v>5776</v>
      </c>
      <c r="K146" s="101">
        <f t="shared" si="57"/>
        <v>3839.56</v>
      </c>
      <c r="L146" s="101">
        <f t="shared" si="57"/>
        <v>15068.56</v>
      </c>
      <c r="M146" s="101">
        <f t="shared" si="57"/>
        <v>174931.44</v>
      </c>
      <c r="N146" s="101">
        <f t="shared" si="57"/>
        <v>17175.197291666667</v>
      </c>
      <c r="O146" s="101">
        <f t="shared" si="57"/>
        <v>0</v>
      </c>
      <c r="P146" s="101">
        <f t="shared" si="57"/>
        <v>3265.18</v>
      </c>
      <c r="Q146" s="101">
        <f t="shared" si="57"/>
        <v>35508.937291666669</v>
      </c>
      <c r="R146" s="101">
        <f t="shared" si="57"/>
        <v>154491.06270833334</v>
      </c>
    </row>
    <row r="147" spans="1:19" s="111" customFormat="1" ht="39.950000000000003" customHeight="1" x14ac:dyDescent="0.2">
      <c r="A147" s="179" t="s">
        <v>533</v>
      </c>
      <c r="B147" s="180"/>
      <c r="C147" s="180"/>
      <c r="D147" s="180"/>
      <c r="E147" s="180"/>
      <c r="F147" s="330"/>
      <c r="G147" s="331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15"/>
    </row>
    <row r="148" spans="1:19" s="111" customFormat="1" ht="39.950000000000003" customHeight="1" x14ac:dyDescent="0.2">
      <c r="A148" s="108">
        <f>+A145+1</f>
        <v>67</v>
      </c>
      <c r="B148" s="140" t="s">
        <v>399</v>
      </c>
      <c r="C148" s="108" t="s">
        <v>335</v>
      </c>
      <c r="D148" s="142" t="s">
        <v>368</v>
      </c>
      <c r="E148" s="107" t="s">
        <v>179</v>
      </c>
      <c r="F148" s="102" t="s">
        <v>620</v>
      </c>
      <c r="G148" s="102" t="s">
        <v>652</v>
      </c>
      <c r="H148" s="164">
        <v>80000</v>
      </c>
      <c r="I148" s="105">
        <f>H148*2.87%</f>
        <v>2296</v>
      </c>
      <c r="J148" s="105">
        <f>+H148*3.04%</f>
        <v>2432</v>
      </c>
      <c r="K148" s="105"/>
      <c r="L148" s="105">
        <f>+J148+I148+K148</f>
        <v>4728</v>
      </c>
      <c r="M148" s="105">
        <f>+H148-L148</f>
        <v>75272</v>
      </c>
      <c r="N148" s="105">
        <v>0</v>
      </c>
      <c r="O148" s="105"/>
      <c r="P148" s="117">
        <v>225</v>
      </c>
      <c r="Q148" s="97">
        <f>+P148+N148+L148</f>
        <v>4953</v>
      </c>
      <c r="R148" s="162">
        <f>H148-Q148</f>
        <v>75047</v>
      </c>
      <c r="S148" s="115"/>
    </row>
    <row r="149" spans="1:19" s="111" customFormat="1" ht="39.950000000000003" customHeight="1" x14ac:dyDescent="0.2">
      <c r="A149" s="108">
        <f>+A148+1</f>
        <v>68</v>
      </c>
      <c r="B149" s="140" t="s">
        <v>537</v>
      </c>
      <c r="C149" s="108" t="s">
        <v>335</v>
      </c>
      <c r="D149" s="142" t="s">
        <v>368</v>
      </c>
      <c r="E149" s="153" t="s">
        <v>179</v>
      </c>
      <c r="F149" s="102" t="s">
        <v>609</v>
      </c>
      <c r="G149" s="102" t="s">
        <v>650</v>
      </c>
      <c r="H149" s="164">
        <v>80000</v>
      </c>
      <c r="I149" s="105">
        <f>H149*2.87%</f>
        <v>2296</v>
      </c>
      <c r="J149" s="105">
        <f>+H149*3.04%</f>
        <v>2432</v>
      </c>
      <c r="K149" s="105">
        <v>1919.78</v>
      </c>
      <c r="L149" s="116">
        <f>+J149+I149+K149</f>
        <v>6647.78</v>
      </c>
      <c r="M149" s="116">
        <f>+H149-L149</f>
        <v>73352.22</v>
      </c>
      <c r="N149" s="105">
        <f>+IF(M149*12&lt;=416220.01,0,IF(M149*12&lt;=624329.01,(((M149*12-416220.01)*0.15)/12),IF((M149*12&lt;=867123.01),(31216+0.2*(M149*12-624329.01))/12,((79776+0.25*(M149*12-867123.01))/12))))-O149</f>
        <v>6920.9922916666665</v>
      </c>
      <c r="O149" s="116"/>
      <c r="P149" s="159">
        <v>5334.43</v>
      </c>
      <c r="Q149" s="118">
        <f>+P149+N149+L149</f>
        <v>18903.202291666665</v>
      </c>
      <c r="R149" s="155">
        <f>H149-Q149</f>
        <v>61096.797708333339</v>
      </c>
      <c r="S149" s="115"/>
    </row>
    <row r="150" spans="1:19" s="115" customFormat="1" ht="39.950000000000003" customHeight="1" x14ac:dyDescent="0.2">
      <c r="A150" s="385" t="s">
        <v>99</v>
      </c>
      <c r="B150" s="386"/>
      <c r="C150" s="100"/>
      <c r="D150" s="100"/>
      <c r="E150" s="100"/>
      <c r="F150" s="325"/>
      <c r="G150" s="325"/>
      <c r="H150" s="101">
        <f t="shared" ref="H150:R150" si="58">SUM(H148:H149)</f>
        <v>160000</v>
      </c>
      <c r="I150" s="101">
        <f t="shared" si="58"/>
        <v>4592</v>
      </c>
      <c r="J150" s="101">
        <f t="shared" si="58"/>
        <v>4864</v>
      </c>
      <c r="K150" s="101">
        <f t="shared" si="58"/>
        <v>1919.78</v>
      </c>
      <c r="L150" s="101">
        <f t="shared" si="58"/>
        <v>11375.779999999999</v>
      </c>
      <c r="M150" s="101">
        <f t="shared" si="58"/>
        <v>148624.22</v>
      </c>
      <c r="N150" s="101">
        <f t="shared" si="58"/>
        <v>6920.9922916666665</v>
      </c>
      <c r="O150" s="101">
        <f t="shared" si="58"/>
        <v>0</v>
      </c>
      <c r="P150" s="101">
        <f t="shared" si="58"/>
        <v>5559.43</v>
      </c>
      <c r="Q150" s="101">
        <f t="shared" si="58"/>
        <v>23856.202291666665</v>
      </c>
      <c r="R150" s="101">
        <f t="shared" si="58"/>
        <v>136143.79770833335</v>
      </c>
    </row>
    <row r="151" spans="1:19" s="181" customFormat="1" ht="39.950000000000003" customHeight="1" thickBot="1" x14ac:dyDescent="0.25">
      <c r="A151" s="168"/>
      <c r="B151" s="168"/>
      <c r="C151" s="168"/>
      <c r="D151" s="168"/>
      <c r="E151" s="168"/>
      <c r="F151" s="173"/>
      <c r="G151" s="173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84"/>
    </row>
    <row r="152" spans="1:19" s="181" customFormat="1" ht="39.950000000000003" customHeight="1" thickBot="1" x14ac:dyDescent="0.25">
      <c r="A152" s="171" t="s">
        <v>248</v>
      </c>
      <c r="B152" s="172"/>
      <c r="C152" s="172"/>
      <c r="D152" s="172"/>
      <c r="E152" s="172"/>
      <c r="F152" s="185"/>
      <c r="G152" s="185"/>
      <c r="H152" s="172"/>
      <c r="I152" s="172"/>
      <c r="J152" s="172"/>
      <c r="K152" s="172"/>
      <c r="L152" s="172"/>
      <c r="M152" s="172"/>
      <c r="N152" s="172"/>
      <c r="O152" s="172"/>
      <c r="P152" s="172"/>
      <c r="Q152" s="172"/>
      <c r="R152" s="172"/>
      <c r="S152" s="184"/>
    </row>
    <row r="153" spans="1:19" s="181" customFormat="1" ht="39.950000000000003" customHeight="1" x14ac:dyDescent="0.2">
      <c r="A153" s="156">
        <f>+A149+1</f>
        <v>69</v>
      </c>
      <c r="B153" s="163" t="s">
        <v>104</v>
      </c>
      <c r="C153" s="152" t="s">
        <v>335</v>
      </c>
      <c r="D153" s="153" t="s">
        <v>103</v>
      </c>
      <c r="E153" s="153" t="s">
        <v>179</v>
      </c>
      <c r="F153" s="174" t="s">
        <v>610</v>
      </c>
      <c r="G153" s="174" t="s">
        <v>640</v>
      </c>
      <c r="H153" s="159">
        <v>190000</v>
      </c>
      <c r="I153" s="118">
        <f>H153*2.87%</f>
        <v>5453</v>
      </c>
      <c r="J153" s="105">
        <v>5776</v>
      </c>
      <c r="K153" s="105"/>
      <c r="L153" s="116">
        <f>+J153+I153+K153</f>
        <v>11229</v>
      </c>
      <c r="M153" s="116">
        <f>+H153-L153</f>
        <v>178771</v>
      </c>
      <c r="N153" s="116">
        <f>+IF(M153*12&lt;=416220.01,0,IF(M153*12&lt;=624329.01,(((M153*12-416220.01)*0.15)/12),IF((M153*12&lt;=867123.01),(31216+0.2*(M153*12-624329.01))/12,((79776+0.25*(M153*12-867123.01))/12))))-O153</f>
        <v>33275.687291666669</v>
      </c>
      <c r="O153" s="116"/>
      <c r="P153" s="155">
        <v>25</v>
      </c>
      <c r="Q153" s="116">
        <f>+P153+N153+L153</f>
        <v>44529.687291666669</v>
      </c>
      <c r="R153" s="155">
        <f>+H153-Q153</f>
        <v>145470.31270833334</v>
      </c>
      <c r="S153" s="184"/>
    </row>
    <row r="154" spans="1:19" s="181" customFormat="1" ht="39.950000000000003" customHeight="1" x14ac:dyDescent="0.2">
      <c r="A154" s="156">
        <f>+A153+1</f>
        <v>70</v>
      </c>
      <c r="B154" s="102" t="s">
        <v>548</v>
      </c>
      <c r="C154" s="131" t="s">
        <v>336</v>
      </c>
      <c r="D154" s="102" t="s">
        <v>492</v>
      </c>
      <c r="E154" s="174" t="s">
        <v>179</v>
      </c>
      <c r="F154" s="102" t="s">
        <v>620</v>
      </c>
      <c r="G154" s="102" t="s">
        <v>652</v>
      </c>
      <c r="H154" s="118">
        <v>110000</v>
      </c>
      <c r="I154" s="118">
        <f>H154*2.87%</f>
        <v>3157</v>
      </c>
      <c r="J154" s="118">
        <f>+H154*3.04%</f>
        <v>3344</v>
      </c>
      <c r="K154" s="118"/>
      <c r="L154" s="116">
        <f>+J154+I154+K154</f>
        <v>6501</v>
      </c>
      <c r="M154" s="116">
        <f>+H154-L154</f>
        <v>103499</v>
      </c>
      <c r="N154" s="116">
        <v>14457.69</v>
      </c>
      <c r="O154" s="116"/>
      <c r="P154" s="155">
        <v>25</v>
      </c>
      <c r="Q154" s="116">
        <f>+P154+N154+L154</f>
        <v>20983.690000000002</v>
      </c>
      <c r="R154" s="155">
        <f>+H154-Q154</f>
        <v>89016.31</v>
      </c>
      <c r="S154" s="184"/>
    </row>
    <row r="155" spans="1:19" s="115" customFormat="1" ht="39.950000000000003" customHeight="1" x14ac:dyDescent="0.2">
      <c r="A155" s="156">
        <f>+A154+1</f>
        <v>71</v>
      </c>
      <c r="B155" s="102" t="s">
        <v>454</v>
      </c>
      <c r="C155" s="131" t="s">
        <v>335</v>
      </c>
      <c r="D155" s="102" t="s">
        <v>492</v>
      </c>
      <c r="E155" s="174" t="s">
        <v>179</v>
      </c>
      <c r="F155" s="174" t="s">
        <v>609</v>
      </c>
      <c r="G155" s="174" t="s">
        <v>650</v>
      </c>
      <c r="H155" s="118">
        <v>110000</v>
      </c>
      <c r="I155" s="118">
        <f>H155*2.87%</f>
        <v>3157</v>
      </c>
      <c r="J155" s="118">
        <f>+H155*3.04%</f>
        <v>3344</v>
      </c>
      <c r="K155" s="118">
        <v>0</v>
      </c>
      <c r="L155" s="116">
        <f>+J155+I155+K155</f>
        <v>6501</v>
      </c>
      <c r="M155" s="116">
        <f>+H155-L155</f>
        <v>103499</v>
      </c>
      <c r="N155" s="116">
        <f t="shared" ref="N155" si="59">+IF(M155*12&lt;=416220.01,0,IF(M155*12&lt;=624329.01,(((M155*12-416220.01)*0.15)/12),IF((M155*12&lt;=867123.01),(31216+0.2*(M155*12-624329.01))/12,((79776+0.25*(M155*12-867123.01))/12))))-O155</f>
        <v>14457.687291666667</v>
      </c>
      <c r="O155" s="116">
        <v>0</v>
      </c>
      <c r="P155" s="155">
        <v>25</v>
      </c>
      <c r="Q155" s="116">
        <f>+P155+N155+L155</f>
        <v>20983.687291666669</v>
      </c>
      <c r="R155" s="155">
        <f>+H155-Q155</f>
        <v>89016.312708333338</v>
      </c>
    </row>
    <row r="156" spans="1:19" s="114" customFormat="1" ht="39.950000000000003" customHeight="1" x14ac:dyDescent="0.2">
      <c r="A156" s="385" t="s">
        <v>99</v>
      </c>
      <c r="B156" s="386"/>
      <c r="C156" s="100"/>
      <c r="D156" s="100"/>
      <c r="E156" s="100"/>
      <c r="F156" s="325"/>
      <c r="G156" s="325"/>
      <c r="H156" s="101">
        <f>SUM(H153:H155)</f>
        <v>410000</v>
      </c>
      <c r="I156" s="101">
        <f t="shared" ref="I156:R156" si="60">SUM(I153:I155)</f>
        <v>11767</v>
      </c>
      <c r="J156" s="101">
        <f t="shared" si="60"/>
        <v>12464</v>
      </c>
      <c r="K156" s="101">
        <f t="shared" si="60"/>
        <v>0</v>
      </c>
      <c r="L156" s="101">
        <f t="shared" si="60"/>
        <v>24231</v>
      </c>
      <c r="M156" s="101">
        <f t="shared" si="60"/>
        <v>385769</v>
      </c>
      <c r="N156" s="101">
        <f t="shared" si="60"/>
        <v>62191.06458333334</v>
      </c>
      <c r="O156" s="101">
        <f t="shared" si="60"/>
        <v>0</v>
      </c>
      <c r="P156" s="101">
        <f t="shared" si="60"/>
        <v>75</v>
      </c>
      <c r="Q156" s="101">
        <f t="shared" si="60"/>
        <v>86497.06458333334</v>
      </c>
      <c r="R156" s="101">
        <f t="shared" si="60"/>
        <v>323502.93541666667</v>
      </c>
      <c r="S156" s="169"/>
    </row>
    <row r="157" spans="1:19" s="181" customFormat="1" ht="39.950000000000003" customHeight="1" thickBot="1" x14ac:dyDescent="0.25">
      <c r="A157" s="168"/>
      <c r="B157" s="168"/>
      <c r="C157" s="168"/>
      <c r="D157" s="168"/>
      <c r="E157" s="168"/>
      <c r="F157" s="173"/>
      <c r="G157" s="173"/>
      <c r="H157" s="114"/>
      <c r="I157" s="114"/>
      <c r="J157" s="114"/>
      <c r="K157" s="114"/>
      <c r="L157" s="114"/>
      <c r="M157" s="114"/>
      <c r="N157" s="114"/>
      <c r="O157" s="114"/>
      <c r="P157" s="114"/>
      <c r="Q157" s="114"/>
      <c r="R157" s="114"/>
      <c r="S157" s="184"/>
    </row>
    <row r="158" spans="1:19" s="181" customFormat="1" ht="39.950000000000003" customHeight="1" thickBot="1" x14ac:dyDescent="0.25">
      <c r="A158" s="171" t="s">
        <v>389</v>
      </c>
      <c r="B158" s="172"/>
      <c r="C158" s="172"/>
      <c r="D158" s="172"/>
      <c r="E158" s="172"/>
      <c r="F158" s="185"/>
      <c r="G158" s="185"/>
      <c r="H158" s="172"/>
      <c r="I158" s="172"/>
      <c r="J158" s="172"/>
      <c r="K158" s="172"/>
      <c r="L158" s="172"/>
      <c r="M158" s="172"/>
      <c r="N158" s="172"/>
      <c r="O158" s="172"/>
      <c r="P158" s="172"/>
      <c r="Q158" s="172"/>
      <c r="R158" s="172"/>
      <c r="S158" s="184"/>
    </row>
    <row r="159" spans="1:19" s="184" customFormat="1" ht="39.950000000000003" customHeight="1" x14ac:dyDescent="0.2">
      <c r="A159" s="108">
        <f>+A155+1</f>
        <v>72</v>
      </c>
      <c r="B159" s="140" t="s">
        <v>309</v>
      </c>
      <c r="C159" s="108" t="s">
        <v>336</v>
      </c>
      <c r="D159" s="142" t="s">
        <v>654</v>
      </c>
      <c r="E159" s="153" t="s">
        <v>179</v>
      </c>
      <c r="F159" s="322" t="s">
        <v>588</v>
      </c>
      <c r="G159" s="322" t="s">
        <v>623</v>
      </c>
      <c r="H159" s="158">
        <v>170000</v>
      </c>
      <c r="I159" s="116">
        <f>H159*2.87%</f>
        <v>4879</v>
      </c>
      <c r="J159" s="116">
        <f>+H159*3.04%</f>
        <v>5168</v>
      </c>
      <c r="K159" s="116"/>
      <c r="L159" s="116">
        <f>+J159+I159+K159</f>
        <v>10047</v>
      </c>
      <c r="M159" s="116">
        <f>+H159-L159</f>
        <v>159953</v>
      </c>
      <c r="N159" s="116">
        <f>+IF(M159*12&lt;=416220.01,0,IF(M159*12&lt;=624329.01,(((M159*12-416220.01)*0.15)/12),IF((M159*12&lt;=867123.01),(31216+0.2*(M159*12-624329.01))/12,((79776+0.25*(M159*12-867123.01))/12))))-O159</f>
        <v>28571.187291666665</v>
      </c>
      <c r="O159" s="116"/>
      <c r="P159" s="159">
        <v>9381.82</v>
      </c>
      <c r="Q159" s="116">
        <f>+P159+N159+L159</f>
        <v>48000.007291666669</v>
      </c>
      <c r="R159" s="159">
        <f>+H159-Q159</f>
        <v>121999.99270833333</v>
      </c>
    </row>
    <row r="160" spans="1:19" s="111" customFormat="1" ht="39.950000000000003" customHeight="1" x14ac:dyDescent="0.2">
      <c r="A160" s="152">
        <f>+A159+1</f>
        <v>73</v>
      </c>
      <c r="B160" s="163" t="s">
        <v>583</v>
      </c>
      <c r="C160" s="152" t="s">
        <v>335</v>
      </c>
      <c r="D160" s="153" t="s">
        <v>105</v>
      </c>
      <c r="E160" s="153" t="s">
        <v>179</v>
      </c>
      <c r="F160" s="174" t="s">
        <v>631</v>
      </c>
      <c r="G160" s="174" t="s">
        <v>663</v>
      </c>
      <c r="H160" s="116">
        <v>50000</v>
      </c>
      <c r="I160" s="116">
        <f>H160*2.87%</f>
        <v>1435</v>
      </c>
      <c r="J160" s="105">
        <f>+H160*3.04%</f>
        <v>1520</v>
      </c>
      <c r="K160" s="105"/>
      <c r="L160" s="116">
        <f>+J160+I160+K160</f>
        <v>2955</v>
      </c>
      <c r="M160" s="116">
        <f>+H160-L160</f>
        <v>47045</v>
      </c>
      <c r="N160" s="116">
        <v>0</v>
      </c>
      <c r="O160" s="116"/>
      <c r="P160" s="155">
        <v>25</v>
      </c>
      <c r="Q160" s="116">
        <f>+P160+N160+L160</f>
        <v>2980</v>
      </c>
      <c r="R160" s="155">
        <f>+H160-Q160</f>
        <v>47020</v>
      </c>
      <c r="S160" s="115"/>
    </row>
    <row r="161" spans="1:19" s="115" customFormat="1" ht="39.950000000000003" customHeight="1" x14ac:dyDescent="0.2">
      <c r="A161" s="385" t="s">
        <v>99</v>
      </c>
      <c r="B161" s="386"/>
      <c r="C161" s="182"/>
      <c r="D161" s="182"/>
      <c r="E161" s="182"/>
      <c r="F161" s="326"/>
      <c r="G161" s="327"/>
      <c r="H161" s="101">
        <f>SUM(H159:H160)</f>
        <v>220000</v>
      </c>
      <c r="I161" s="101">
        <f t="shared" ref="I161:R161" si="61">SUM(I159:I160)</f>
        <v>6314</v>
      </c>
      <c r="J161" s="101">
        <f t="shared" si="61"/>
        <v>6688</v>
      </c>
      <c r="K161" s="101">
        <f t="shared" si="61"/>
        <v>0</v>
      </c>
      <c r="L161" s="101">
        <f t="shared" si="61"/>
        <v>13002</v>
      </c>
      <c r="M161" s="101">
        <f t="shared" si="61"/>
        <v>206998</v>
      </c>
      <c r="N161" s="101">
        <f t="shared" si="61"/>
        <v>28571.187291666665</v>
      </c>
      <c r="O161" s="101">
        <f t="shared" si="61"/>
        <v>0</v>
      </c>
      <c r="P161" s="101">
        <f t="shared" si="61"/>
        <v>9406.82</v>
      </c>
      <c r="Q161" s="101">
        <f t="shared" si="61"/>
        <v>50980.007291666669</v>
      </c>
      <c r="R161" s="101">
        <f t="shared" si="61"/>
        <v>169019.99270833333</v>
      </c>
    </row>
    <row r="162" spans="1:19" s="181" customFormat="1" ht="39.950000000000003" customHeight="1" thickBot="1" x14ac:dyDescent="0.25">
      <c r="A162" s="111"/>
      <c r="B162" s="111"/>
      <c r="C162" s="126"/>
      <c r="D162" s="111"/>
      <c r="E162" s="111"/>
      <c r="F162" s="115"/>
      <c r="G162" s="332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84"/>
    </row>
    <row r="163" spans="1:19" s="181" customFormat="1" ht="39.950000000000003" customHeight="1" thickBot="1" x14ac:dyDescent="0.25">
      <c r="A163" s="171" t="s">
        <v>451</v>
      </c>
      <c r="B163" s="172"/>
      <c r="C163" s="172"/>
      <c r="D163" s="172"/>
      <c r="E163" s="172"/>
      <c r="F163" s="185"/>
      <c r="G163" s="329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84"/>
    </row>
    <row r="164" spans="1:19" s="115" customFormat="1" ht="39.950000000000003" customHeight="1" x14ac:dyDescent="0.2">
      <c r="A164" s="165">
        <f>+A160+1</f>
        <v>74</v>
      </c>
      <c r="B164" s="140" t="s">
        <v>457</v>
      </c>
      <c r="C164" s="108" t="s">
        <v>336</v>
      </c>
      <c r="D164" s="142" t="s">
        <v>458</v>
      </c>
      <c r="E164" s="153" t="s">
        <v>179</v>
      </c>
      <c r="F164" s="102" t="s">
        <v>620</v>
      </c>
      <c r="G164" s="102" t="s">
        <v>652</v>
      </c>
      <c r="H164" s="158">
        <v>90000</v>
      </c>
      <c r="I164" s="118">
        <f>H164*2.87%</f>
        <v>2583</v>
      </c>
      <c r="J164" s="118">
        <f>+H164*3.04%</f>
        <v>2736</v>
      </c>
      <c r="K164" s="118"/>
      <c r="L164" s="116">
        <f>+J164+I164+K164</f>
        <v>5319</v>
      </c>
      <c r="M164" s="116">
        <f>+H164-L164</f>
        <v>84681</v>
      </c>
      <c r="N164" s="116">
        <v>3244.93</v>
      </c>
      <c r="O164" s="116"/>
      <c r="P164" s="155">
        <v>65</v>
      </c>
      <c r="Q164" s="116">
        <f>+P164+N164+L164</f>
        <v>8628.93</v>
      </c>
      <c r="R164" s="155">
        <f>+H164-Q164</f>
        <v>81371.070000000007</v>
      </c>
    </row>
    <row r="165" spans="1:19" s="111" customFormat="1" ht="39.950000000000003" customHeight="1" x14ac:dyDescent="0.2">
      <c r="A165" s="165">
        <f>+A164+1</f>
        <v>75</v>
      </c>
      <c r="B165" s="140" t="s">
        <v>449</v>
      </c>
      <c r="C165" s="108" t="s">
        <v>336</v>
      </c>
      <c r="D165" s="142" t="s">
        <v>450</v>
      </c>
      <c r="E165" s="153" t="s">
        <v>179</v>
      </c>
      <c r="F165" s="174" t="s">
        <v>609</v>
      </c>
      <c r="G165" s="174" t="s">
        <v>650</v>
      </c>
      <c r="H165" s="158">
        <v>80000</v>
      </c>
      <c r="I165" s="118">
        <f>H165*2.87%</f>
        <v>2296</v>
      </c>
      <c r="J165" s="118">
        <f>+H165*3.04%</f>
        <v>2432</v>
      </c>
      <c r="K165" s="118">
        <v>1919.78</v>
      </c>
      <c r="L165" s="116">
        <f>+J165+I165+K165</f>
        <v>6647.78</v>
      </c>
      <c r="M165" s="116">
        <f>+H165-L165</f>
        <v>73352.22</v>
      </c>
      <c r="N165" s="116">
        <f>+IF(M165*12&lt;=416220.01,0,IF(M165*12&lt;=624329.01,(((M165*12-416220.01)*0.15)/12),IF((M165*12&lt;=867123.01),(31216+0.2*(M165*12-624329.01))/12,((79776+0.25*(M165*12-867123.01))/12))))-O165</f>
        <v>6920.9922916666665</v>
      </c>
      <c r="O165" s="116">
        <v>0</v>
      </c>
      <c r="P165" s="155">
        <v>225</v>
      </c>
      <c r="Q165" s="116">
        <f>+P165+N165+L165</f>
        <v>13793.772291666666</v>
      </c>
      <c r="R165" s="155">
        <f>+H165-Q165</f>
        <v>66206.227708333332</v>
      </c>
      <c r="S165" s="115"/>
    </row>
    <row r="166" spans="1:19" s="111" customFormat="1" ht="39.950000000000003" customHeight="1" x14ac:dyDescent="0.2">
      <c r="A166" s="385" t="s">
        <v>99</v>
      </c>
      <c r="B166" s="386"/>
      <c r="C166" s="100"/>
      <c r="D166" s="100"/>
      <c r="E166" s="100"/>
      <c r="F166" s="325"/>
      <c r="G166" s="325"/>
      <c r="H166" s="101">
        <f>SUM(H164:H165)</f>
        <v>170000</v>
      </c>
      <c r="I166" s="101">
        <f t="shared" ref="I166:R166" si="62">SUM(I164:I165)</f>
        <v>4879</v>
      </c>
      <c r="J166" s="101">
        <f t="shared" si="62"/>
        <v>5168</v>
      </c>
      <c r="K166" s="101">
        <f t="shared" si="62"/>
        <v>1919.78</v>
      </c>
      <c r="L166" s="101">
        <f t="shared" si="62"/>
        <v>11966.779999999999</v>
      </c>
      <c r="M166" s="101">
        <f t="shared" si="62"/>
        <v>158033.22</v>
      </c>
      <c r="N166" s="101">
        <f t="shared" si="62"/>
        <v>10165.922291666666</v>
      </c>
      <c r="O166" s="101">
        <f t="shared" si="62"/>
        <v>0</v>
      </c>
      <c r="P166" s="101">
        <f t="shared" si="62"/>
        <v>290</v>
      </c>
      <c r="Q166" s="101">
        <f t="shared" si="62"/>
        <v>22422.702291666668</v>
      </c>
      <c r="R166" s="101">
        <f t="shared" si="62"/>
        <v>147577.29770833335</v>
      </c>
      <c r="S166" s="115"/>
    </row>
    <row r="167" spans="1:19" s="169" customFormat="1" ht="39.950000000000003" customHeight="1" thickBot="1" x14ac:dyDescent="0.25">
      <c r="A167" s="168"/>
      <c r="B167" s="168"/>
      <c r="C167" s="183"/>
      <c r="D167" s="183"/>
      <c r="E167" s="183"/>
      <c r="F167" s="333"/>
      <c r="G167" s="333"/>
    </row>
    <row r="168" spans="1:19" s="169" customFormat="1" ht="39.950000000000003" customHeight="1" thickBot="1" x14ac:dyDescent="0.25">
      <c r="A168" s="171" t="s">
        <v>306</v>
      </c>
      <c r="B168" s="172"/>
      <c r="C168" s="172"/>
      <c r="D168" s="172"/>
      <c r="E168" s="172"/>
      <c r="F168" s="185"/>
      <c r="G168" s="329"/>
      <c r="H168" s="172"/>
      <c r="I168" s="172"/>
      <c r="J168" s="172"/>
      <c r="K168" s="172"/>
      <c r="L168" s="172"/>
      <c r="M168" s="172"/>
      <c r="N168" s="172"/>
      <c r="O168" s="172"/>
      <c r="P168" s="172"/>
      <c r="Q168" s="172"/>
      <c r="R168" s="172"/>
    </row>
    <row r="169" spans="1:19" s="169" customFormat="1" ht="39.950000000000003" customHeight="1" x14ac:dyDescent="0.2">
      <c r="A169" s="290">
        <f>+A164+1</f>
        <v>75</v>
      </c>
      <c r="B169" s="141" t="s">
        <v>586</v>
      </c>
      <c r="C169" s="103" t="s">
        <v>335</v>
      </c>
      <c r="D169" s="139" t="s">
        <v>546</v>
      </c>
      <c r="E169" s="174" t="s">
        <v>179</v>
      </c>
      <c r="F169" s="322" t="s">
        <v>588</v>
      </c>
      <c r="G169" s="322" t="s">
        <v>623</v>
      </c>
      <c r="H169" s="190">
        <v>100000</v>
      </c>
      <c r="I169" s="118">
        <f>H169*2.87%</f>
        <v>2870</v>
      </c>
      <c r="J169" s="118">
        <f>+H169*3.04%</f>
        <v>3040</v>
      </c>
      <c r="K169" s="118">
        <v>0</v>
      </c>
      <c r="L169" s="116">
        <f>+J169+I169+K169</f>
        <v>5910</v>
      </c>
      <c r="M169" s="116">
        <f>+H169-L169</f>
        <v>94090</v>
      </c>
      <c r="N169" s="116">
        <f>+IF(M169*12&lt;=416220.01,0,IF(M169*12&lt;=624329.01,(((M169*12-416220.01)*0.15)/12),IF((M169*12&lt;=867123.01),(31216+0.2*(M169*12-624329.01))/12,((79776+0.25*(M169*12-867123.01))/12))))-O169</f>
        <v>12105.437291666667</v>
      </c>
      <c r="O169" s="116">
        <v>0</v>
      </c>
      <c r="P169" s="155">
        <v>225</v>
      </c>
      <c r="Q169" s="116">
        <f>+L169+N169+P169</f>
        <v>18240.437291666669</v>
      </c>
      <c r="R169" s="155">
        <f>+H169-Q169</f>
        <v>81759.562708333338</v>
      </c>
    </row>
    <row r="170" spans="1:19" s="115" customFormat="1" ht="39.950000000000003" customHeight="1" x14ac:dyDescent="0.2">
      <c r="A170" s="321">
        <f>+A165+1</f>
        <v>76</v>
      </c>
      <c r="B170" s="141" t="s">
        <v>660</v>
      </c>
      <c r="C170" s="103" t="s">
        <v>335</v>
      </c>
      <c r="D170" s="139" t="s">
        <v>661</v>
      </c>
      <c r="E170" s="174" t="s">
        <v>179</v>
      </c>
      <c r="F170" s="322" t="s">
        <v>588</v>
      </c>
      <c r="G170" s="322" t="s">
        <v>623</v>
      </c>
      <c r="H170" s="190">
        <v>60000</v>
      </c>
      <c r="I170" s="118">
        <f>H170*2.87%</f>
        <v>1722</v>
      </c>
      <c r="J170" s="118">
        <f>+H170*3.04%</f>
        <v>1824</v>
      </c>
      <c r="K170" s="118">
        <v>0</v>
      </c>
      <c r="L170" s="118">
        <f>+J170+I170+K170</f>
        <v>3546</v>
      </c>
      <c r="M170" s="118">
        <f>+H170-L170</f>
        <v>56454</v>
      </c>
      <c r="N170" s="118"/>
      <c r="O170" s="118">
        <v>0</v>
      </c>
      <c r="P170" s="155">
        <v>225</v>
      </c>
      <c r="Q170" s="118">
        <f>+L170+N170+P170</f>
        <v>3771</v>
      </c>
      <c r="R170" s="155">
        <f>+H170-Q170</f>
        <v>56229</v>
      </c>
    </row>
    <row r="171" spans="1:19" s="114" customFormat="1" ht="39.950000000000003" customHeight="1" x14ac:dyDescent="0.2">
      <c r="A171" s="385" t="s">
        <v>99</v>
      </c>
      <c r="B171" s="386"/>
      <c r="C171" s="100"/>
      <c r="D171" s="100"/>
      <c r="E171" s="100"/>
      <c r="F171" s="325"/>
      <c r="G171" s="325"/>
      <c r="H171" s="101">
        <f t="shared" ref="H171:N171" si="63">SUM(H169:H170)</f>
        <v>160000</v>
      </c>
      <c r="I171" s="101">
        <f t="shared" si="63"/>
        <v>4592</v>
      </c>
      <c r="J171" s="101">
        <f t="shared" si="63"/>
        <v>4864</v>
      </c>
      <c r="K171" s="101">
        <f t="shared" si="63"/>
        <v>0</v>
      </c>
      <c r="L171" s="101">
        <f t="shared" si="63"/>
        <v>9456</v>
      </c>
      <c r="M171" s="101">
        <f t="shared" si="63"/>
        <v>150544</v>
      </c>
      <c r="N171" s="101">
        <f t="shared" si="63"/>
        <v>12105.437291666667</v>
      </c>
      <c r="O171" s="101">
        <f>SUM(O170:O170)</f>
        <v>0</v>
      </c>
      <c r="P171" s="101">
        <f>SUM(P169:P170)</f>
        <v>450</v>
      </c>
      <c r="Q171" s="101">
        <f>SUM(Q169:Q170)</f>
        <v>22011.437291666669</v>
      </c>
      <c r="R171" s="101">
        <f>SUM(R169:R170)</f>
        <v>137988.56270833334</v>
      </c>
      <c r="S171" s="169"/>
    </row>
    <row r="172" spans="1:19" s="114" customFormat="1" ht="39.950000000000003" customHeight="1" thickBot="1" x14ac:dyDescent="0.25">
      <c r="A172" s="168"/>
      <c r="B172" s="168"/>
      <c r="C172" s="168"/>
      <c r="D172" s="168"/>
      <c r="E172" s="168"/>
      <c r="F172" s="173"/>
      <c r="G172" s="173"/>
      <c r="S172" s="169"/>
    </row>
    <row r="173" spans="1:19" s="114" customFormat="1" ht="39.950000000000003" customHeight="1" thickBot="1" x14ac:dyDescent="0.25">
      <c r="A173" s="171" t="s">
        <v>182</v>
      </c>
      <c r="B173" s="172"/>
      <c r="C173" s="172"/>
      <c r="D173" s="172"/>
      <c r="E173" s="172"/>
      <c r="F173" s="185"/>
      <c r="G173" s="185"/>
      <c r="H173" s="172"/>
      <c r="I173" s="172"/>
      <c r="J173" s="172"/>
      <c r="K173" s="185"/>
      <c r="L173" s="185"/>
      <c r="M173" s="185"/>
      <c r="N173" s="185"/>
      <c r="O173" s="185"/>
      <c r="P173" s="185"/>
      <c r="Q173" s="185"/>
      <c r="R173" s="172"/>
      <c r="S173" s="169"/>
    </row>
    <row r="174" spans="1:19" s="114" customFormat="1" ht="39.950000000000003" customHeight="1" x14ac:dyDescent="0.2">
      <c r="A174" s="103">
        <f>+A170+1</f>
        <v>77</v>
      </c>
      <c r="B174" s="140" t="s">
        <v>307</v>
      </c>
      <c r="C174" s="108" t="s">
        <v>336</v>
      </c>
      <c r="D174" s="142" t="s">
        <v>493</v>
      </c>
      <c r="E174" s="153" t="s">
        <v>179</v>
      </c>
      <c r="F174" s="174" t="s">
        <v>631</v>
      </c>
      <c r="G174" s="174" t="s">
        <v>663</v>
      </c>
      <c r="H174" s="158">
        <v>145000</v>
      </c>
      <c r="I174" s="118">
        <f>H174*2.87%</f>
        <v>4161.5</v>
      </c>
      <c r="J174" s="118">
        <f>+H174*3.04%</f>
        <v>4408</v>
      </c>
      <c r="K174" s="118"/>
      <c r="L174" s="118">
        <f>+J174+I174+K174</f>
        <v>8569.5</v>
      </c>
      <c r="M174" s="118">
        <f>+H174-L174</f>
        <v>136430.5</v>
      </c>
      <c r="N174" s="116">
        <f>+IF(M174*12&lt;=416220.01,0,IF(M174*12&lt;=624329.01,(((M174*12-416220.01)*0.15)/12),IF((M174*12&lt;=867123.01),(31216+0.2*(M174*12-624329.01))/12,((79776+0.25*(M174*12-867123.01))/12))))-O174</f>
        <v>22690.562291666665</v>
      </c>
      <c r="O174" s="118"/>
      <c r="P174" s="159">
        <v>2845.5</v>
      </c>
      <c r="Q174" s="118">
        <f>+P174+N174+L174</f>
        <v>34105.562291666662</v>
      </c>
      <c r="R174" s="155">
        <f>+H174-Q174</f>
        <v>110894.43770833334</v>
      </c>
      <c r="S174" s="169"/>
    </row>
    <row r="175" spans="1:19" s="114" customFormat="1" ht="39.950000000000003" customHeight="1" x14ac:dyDescent="0.2">
      <c r="A175" s="385" t="s">
        <v>99</v>
      </c>
      <c r="B175" s="387"/>
      <c r="C175" s="186"/>
      <c r="D175" s="186"/>
      <c r="E175" s="186"/>
      <c r="F175" s="334"/>
      <c r="G175" s="335"/>
      <c r="H175" s="101">
        <f>+H174</f>
        <v>145000</v>
      </c>
      <c r="I175" s="101">
        <f t="shared" ref="I175:R175" si="64">+I174</f>
        <v>4161.5</v>
      </c>
      <c r="J175" s="101">
        <f t="shared" si="64"/>
        <v>4408</v>
      </c>
      <c r="K175" s="101">
        <f t="shared" si="64"/>
        <v>0</v>
      </c>
      <c r="L175" s="101">
        <f t="shared" si="64"/>
        <v>8569.5</v>
      </c>
      <c r="M175" s="101">
        <f t="shared" si="64"/>
        <v>136430.5</v>
      </c>
      <c r="N175" s="101">
        <f t="shared" si="64"/>
        <v>22690.562291666665</v>
      </c>
      <c r="O175" s="101">
        <f t="shared" si="64"/>
        <v>0</v>
      </c>
      <c r="P175" s="101">
        <f t="shared" si="64"/>
        <v>2845.5</v>
      </c>
      <c r="Q175" s="101">
        <f t="shared" si="64"/>
        <v>34105.562291666662</v>
      </c>
      <c r="R175" s="101">
        <f t="shared" si="64"/>
        <v>110894.43770833334</v>
      </c>
      <c r="S175" s="169"/>
    </row>
    <row r="176" spans="1:19" s="114" customFormat="1" ht="39.950000000000003" customHeight="1" thickBot="1" x14ac:dyDescent="0.25">
      <c r="A176" s="124"/>
      <c r="B176" s="110"/>
      <c r="C176" s="113"/>
      <c r="D176" s="187"/>
      <c r="E176" s="188"/>
      <c r="F176" s="323"/>
      <c r="G176" s="323"/>
      <c r="H176" s="189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69"/>
    </row>
    <row r="177" spans="1:19" s="181" customFormat="1" ht="39.950000000000003" customHeight="1" thickBot="1" x14ac:dyDescent="0.25">
      <c r="A177" s="171" t="s">
        <v>172</v>
      </c>
      <c r="B177" s="172"/>
      <c r="C177" s="172"/>
      <c r="D177" s="172"/>
      <c r="E177" s="172"/>
      <c r="F177" s="185"/>
      <c r="G177" s="185"/>
      <c r="H177" s="172"/>
      <c r="I177" s="172"/>
      <c r="J177" s="172"/>
      <c r="K177" s="172"/>
      <c r="L177" s="172"/>
      <c r="M177" s="172"/>
      <c r="N177" s="172"/>
      <c r="O177" s="172"/>
      <c r="P177" s="172"/>
      <c r="Q177" s="172"/>
      <c r="R177" s="172"/>
      <c r="S177" s="184"/>
    </row>
    <row r="178" spans="1:19" s="114" customFormat="1" ht="39.950000000000003" customHeight="1" x14ac:dyDescent="0.2">
      <c r="A178" s="103">
        <f>+A174+1</f>
        <v>78</v>
      </c>
      <c r="B178" s="140" t="s">
        <v>418</v>
      </c>
      <c r="C178" s="108" t="s">
        <v>336</v>
      </c>
      <c r="D178" s="142" t="s">
        <v>655</v>
      </c>
      <c r="E178" s="153" t="s">
        <v>179</v>
      </c>
      <c r="F178" s="174" t="s">
        <v>653</v>
      </c>
      <c r="G178" s="102" t="s">
        <v>652</v>
      </c>
      <c r="H178" s="158">
        <v>145000</v>
      </c>
      <c r="I178" s="118">
        <f>H178*2.87%</f>
        <v>4161.5</v>
      </c>
      <c r="J178" s="118">
        <f>+H178*3.04%</f>
        <v>4408</v>
      </c>
      <c r="K178" s="118"/>
      <c r="L178" s="116">
        <f t="shared" ref="L178:L183" si="65">+J178+I178+K178</f>
        <v>8569.5</v>
      </c>
      <c r="M178" s="116">
        <f t="shared" ref="M178:M183" si="66">+H178-L178</f>
        <v>136430.5</v>
      </c>
      <c r="N178" s="116">
        <f t="shared" ref="N178:N180" si="67">+IF(M178*12&lt;=416220.01,0,IF(M178*12&lt;=624329.01,(((M178*12-416220.01)*0.15)/12),IF((M178*12&lt;=867123.01),(31216+0.2*(M178*12-624329.01))/12,((79776+0.25*(M178*12-867123.01))/12))))-O178</f>
        <v>22690.562291666665</v>
      </c>
      <c r="O178" s="118"/>
      <c r="P178" s="159">
        <v>25</v>
      </c>
      <c r="Q178" s="118">
        <f t="shared" ref="Q178:Q183" si="68">+P178+N178+L178</f>
        <v>31285.062291666665</v>
      </c>
      <c r="R178" s="155">
        <f t="shared" ref="R178:R183" si="69">+H178-Q178</f>
        <v>113714.93770833334</v>
      </c>
      <c r="S178" s="169"/>
    </row>
    <row r="179" spans="1:19" s="184" customFormat="1" ht="39.950000000000003" customHeight="1" x14ac:dyDescent="0.2">
      <c r="A179" s="108">
        <f>+A178+1</f>
        <v>79</v>
      </c>
      <c r="B179" s="140" t="s">
        <v>80</v>
      </c>
      <c r="C179" s="108" t="s">
        <v>336</v>
      </c>
      <c r="D179" s="142" t="s">
        <v>401</v>
      </c>
      <c r="E179" s="153" t="s">
        <v>179</v>
      </c>
      <c r="F179" s="154" t="s">
        <v>599</v>
      </c>
      <c r="G179" s="154" t="s">
        <v>630</v>
      </c>
      <c r="H179" s="158">
        <v>80000</v>
      </c>
      <c r="I179" s="105">
        <f t="shared" ref="I179:I180" si="70">H179*2.87%</f>
        <v>2296</v>
      </c>
      <c r="J179" s="105">
        <f t="shared" ref="J179:J180" si="71">+H179*3.04%</f>
        <v>2432</v>
      </c>
      <c r="K179" s="116">
        <v>1919.78</v>
      </c>
      <c r="L179" s="116">
        <f t="shared" si="65"/>
        <v>6647.78</v>
      </c>
      <c r="M179" s="116">
        <f t="shared" si="66"/>
        <v>73352.22</v>
      </c>
      <c r="N179" s="116">
        <f t="shared" si="67"/>
        <v>6920.9922916666665</v>
      </c>
      <c r="O179" s="116"/>
      <c r="P179" s="159">
        <v>5713.96</v>
      </c>
      <c r="Q179" s="118">
        <f t="shared" si="68"/>
        <v>19282.732291666667</v>
      </c>
      <c r="R179" s="155">
        <f t="shared" si="69"/>
        <v>60717.267708333333</v>
      </c>
    </row>
    <row r="180" spans="1:19" s="181" customFormat="1" ht="39.950000000000003" customHeight="1" x14ac:dyDescent="0.2">
      <c r="A180" s="108">
        <f>+A179+1</f>
        <v>80</v>
      </c>
      <c r="B180" s="140" t="s">
        <v>311</v>
      </c>
      <c r="C180" s="108" t="s">
        <v>336</v>
      </c>
      <c r="D180" s="142" t="s">
        <v>190</v>
      </c>
      <c r="E180" s="153" t="s">
        <v>179</v>
      </c>
      <c r="F180" s="174" t="s">
        <v>610</v>
      </c>
      <c r="G180" s="174" t="s">
        <v>640</v>
      </c>
      <c r="H180" s="158">
        <v>80000</v>
      </c>
      <c r="I180" s="105">
        <f t="shared" si="70"/>
        <v>2296</v>
      </c>
      <c r="J180" s="105">
        <f t="shared" si="71"/>
        <v>2432</v>
      </c>
      <c r="K180" s="116">
        <v>1919.78</v>
      </c>
      <c r="L180" s="116">
        <f>+J180+I180+K180</f>
        <v>6647.78</v>
      </c>
      <c r="M180" s="116">
        <f>+H180-L180</f>
        <v>73352.22</v>
      </c>
      <c r="N180" s="116">
        <f t="shared" si="67"/>
        <v>6920.9922916666665</v>
      </c>
      <c r="O180" s="116"/>
      <c r="P180" s="159">
        <v>2990.29</v>
      </c>
      <c r="Q180" s="118">
        <f t="shared" si="68"/>
        <v>16559.062291666665</v>
      </c>
      <c r="R180" s="155">
        <f t="shared" si="69"/>
        <v>63440.937708333338</v>
      </c>
      <c r="S180" s="184"/>
    </row>
    <row r="181" spans="1:19" s="181" customFormat="1" ht="39.950000000000003" customHeight="1" x14ac:dyDescent="0.2">
      <c r="A181" s="108">
        <f>+A180+1</f>
        <v>81</v>
      </c>
      <c r="B181" s="140" t="s">
        <v>308</v>
      </c>
      <c r="C181" s="108" t="s">
        <v>336</v>
      </c>
      <c r="D181" s="142" t="s">
        <v>190</v>
      </c>
      <c r="E181" s="153" t="s">
        <v>179</v>
      </c>
      <c r="F181" s="174" t="s">
        <v>609</v>
      </c>
      <c r="G181" s="174" t="s">
        <v>650</v>
      </c>
      <c r="H181" s="158">
        <v>80000</v>
      </c>
      <c r="I181" s="116">
        <f>H181*2.87%</f>
        <v>2296</v>
      </c>
      <c r="J181" s="116">
        <f>+H181*3.04%</f>
        <v>2432</v>
      </c>
      <c r="K181" s="116">
        <v>1919.78</v>
      </c>
      <c r="L181" s="116">
        <f>+J181+I181+K181</f>
        <v>6647.78</v>
      </c>
      <c r="M181" s="116">
        <f>+H181-L181</f>
        <v>73352.22</v>
      </c>
      <c r="N181" s="116">
        <v>2012.15</v>
      </c>
      <c r="O181" s="116"/>
      <c r="P181" s="159">
        <v>25</v>
      </c>
      <c r="Q181" s="118">
        <f t="shared" si="68"/>
        <v>8684.93</v>
      </c>
      <c r="R181" s="155">
        <f t="shared" si="69"/>
        <v>71315.070000000007</v>
      </c>
      <c r="S181" s="184"/>
    </row>
    <row r="182" spans="1:19" s="181" customFormat="1" ht="39.950000000000003" customHeight="1" x14ac:dyDescent="0.2">
      <c r="A182" s="108">
        <f>+A181+1</f>
        <v>82</v>
      </c>
      <c r="B182" s="140" t="s">
        <v>459</v>
      </c>
      <c r="C182" s="108" t="s">
        <v>336</v>
      </c>
      <c r="D182" s="142" t="s">
        <v>312</v>
      </c>
      <c r="E182" s="153" t="s">
        <v>179</v>
      </c>
      <c r="F182" s="102" t="s">
        <v>620</v>
      </c>
      <c r="G182" s="102" t="s">
        <v>652</v>
      </c>
      <c r="H182" s="158">
        <v>65000</v>
      </c>
      <c r="I182" s="105">
        <f t="shared" ref="I182:I183" si="72">H182*2.87%</f>
        <v>1865.5</v>
      </c>
      <c r="J182" s="105">
        <f t="shared" ref="J182:J183" si="73">+H182*3.04%</f>
        <v>1976</v>
      </c>
      <c r="K182" s="105"/>
      <c r="L182" s="116">
        <f t="shared" si="65"/>
        <v>3841.5</v>
      </c>
      <c r="M182" s="116">
        <f t="shared" si="66"/>
        <v>61158.5</v>
      </c>
      <c r="N182" s="116">
        <v>4427.55</v>
      </c>
      <c r="O182" s="116"/>
      <c r="P182" s="159">
        <v>225</v>
      </c>
      <c r="Q182" s="116">
        <f t="shared" si="68"/>
        <v>8494.0499999999993</v>
      </c>
      <c r="R182" s="159">
        <f t="shared" si="69"/>
        <v>56505.95</v>
      </c>
      <c r="S182" s="184"/>
    </row>
    <row r="183" spans="1:19" s="181" customFormat="1" ht="39.950000000000003" customHeight="1" x14ac:dyDescent="0.2">
      <c r="A183" s="108">
        <f>+A182+1</f>
        <v>83</v>
      </c>
      <c r="B183" s="140" t="s">
        <v>178</v>
      </c>
      <c r="C183" s="108" t="s">
        <v>336</v>
      </c>
      <c r="D183" s="142" t="s">
        <v>312</v>
      </c>
      <c r="E183" s="153" t="s">
        <v>179</v>
      </c>
      <c r="F183" s="154" t="s">
        <v>599</v>
      </c>
      <c r="G183" s="154" t="s">
        <v>630</v>
      </c>
      <c r="H183" s="158">
        <v>50000</v>
      </c>
      <c r="I183" s="105">
        <f t="shared" si="72"/>
        <v>1435</v>
      </c>
      <c r="J183" s="105">
        <f t="shared" si="73"/>
        <v>1520</v>
      </c>
      <c r="K183" s="105"/>
      <c r="L183" s="116">
        <f t="shared" si="65"/>
        <v>2955</v>
      </c>
      <c r="M183" s="116">
        <f t="shared" si="66"/>
        <v>47045</v>
      </c>
      <c r="N183" s="116">
        <v>0</v>
      </c>
      <c r="O183" s="116"/>
      <c r="P183" s="159">
        <v>9560.89</v>
      </c>
      <c r="Q183" s="116">
        <f t="shared" si="68"/>
        <v>12515.89</v>
      </c>
      <c r="R183" s="159">
        <f t="shared" si="69"/>
        <v>37484.11</v>
      </c>
      <c r="S183" s="184"/>
    </row>
    <row r="184" spans="1:19" s="181" customFormat="1" ht="39.950000000000003" customHeight="1" x14ac:dyDescent="0.2">
      <c r="A184" s="385" t="s">
        <v>99</v>
      </c>
      <c r="B184" s="386"/>
      <c r="C184" s="100"/>
      <c r="D184" s="100"/>
      <c r="E184" s="100"/>
      <c r="F184" s="325"/>
      <c r="G184" s="325"/>
      <c r="H184" s="101">
        <f t="shared" ref="H184:Q184" si="74">SUM(H178:H183)</f>
        <v>500000</v>
      </c>
      <c r="I184" s="101">
        <f t="shared" si="74"/>
        <v>14350</v>
      </c>
      <c r="J184" s="101">
        <f t="shared" si="74"/>
        <v>15200</v>
      </c>
      <c r="K184" s="101">
        <f t="shared" si="74"/>
        <v>5759.34</v>
      </c>
      <c r="L184" s="101">
        <f t="shared" si="74"/>
        <v>35309.339999999997</v>
      </c>
      <c r="M184" s="101">
        <f t="shared" si="74"/>
        <v>464690.66000000003</v>
      </c>
      <c r="N184" s="101">
        <f t="shared" si="74"/>
        <v>42972.246875000004</v>
      </c>
      <c r="O184" s="101">
        <f t="shared" si="74"/>
        <v>0</v>
      </c>
      <c r="P184" s="101">
        <f t="shared" si="74"/>
        <v>18540.14</v>
      </c>
      <c r="Q184" s="101">
        <f t="shared" si="74"/>
        <v>96821.726874999993</v>
      </c>
      <c r="R184" s="101">
        <f>SUM(R178:R183)</f>
        <v>403178.27312500001</v>
      </c>
      <c r="S184" s="184"/>
    </row>
    <row r="185" spans="1:19" s="181" customFormat="1" ht="39.950000000000003" customHeight="1" thickBot="1" x14ac:dyDescent="0.25">
      <c r="A185" s="168"/>
      <c r="B185" s="168"/>
      <c r="C185" s="168"/>
      <c r="D185" s="168"/>
      <c r="E185" s="168"/>
      <c r="F185" s="173"/>
      <c r="G185" s="173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84"/>
    </row>
    <row r="186" spans="1:19" s="184" customFormat="1" ht="39.950000000000003" customHeight="1" thickBot="1" x14ac:dyDescent="0.25">
      <c r="A186" s="171" t="s">
        <v>364</v>
      </c>
      <c r="B186" s="172"/>
      <c r="C186" s="172"/>
      <c r="D186" s="172"/>
      <c r="E186" s="172"/>
      <c r="F186" s="185"/>
      <c r="G186" s="185"/>
      <c r="H186" s="172"/>
      <c r="I186" s="172"/>
      <c r="J186" s="172"/>
      <c r="K186" s="172"/>
      <c r="L186" s="172"/>
      <c r="M186" s="172"/>
      <c r="N186" s="172"/>
      <c r="O186" s="172"/>
      <c r="P186" s="172"/>
      <c r="Q186" s="172"/>
      <c r="R186" s="172"/>
    </row>
    <row r="187" spans="1:19" s="181" customFormat="1" ht="39.950000000000003" customHeight="1" x14ac:dyDescent="0.2">
      <c r="A187" s="103">
        <f>+A182+1</f>
        <v>83</v>
      </c>
      <c r="B187" s="109" t="s">
        <v>183</v>
      </c>
      <c r="C187" s="108" t="s">
        <v>336</v>
      </c>
      <c r="D187" s="107" t="s">
        <v>365</v>
      </c>
      <c r="E187" s="153" t="s">
        <v>179</v>
      </c>
      <c r="F187" s="322" t="s">
        <v>588</v>
      </c>
      <c r="G187" s="322" t="s">
        <v>623</v>
      </c>
      <c r="H187" s="191">
        <v>180000</v>
      </c>
      <c r="I187" s="97">
        <f>H187*2.87%</f>
        <v>5166</v>
      </c>
      <c r="J187" s="118">
        <f>+H187*3.04%</f>
        <v>5472</v>
      </c>
      <c r="K187" s="118"/>
      <c r="L187" s="116">
        <f>+J187+I187+K187</f>
        <v>10638</v>
      </c>
      <c r="M187" s="116">
        <f>+H187-L187</f>
        <v>169362</v>
      </c>
      <c r="N187" s="116">
        <f>+IF(M187*12&lt;=416220.01,0,IF(M187*12&lt;=624329.01,(((M187*12-416220.01)*0.15)/12),IF((M187*12&lt;=867123.01),(31216+0.2*(M187*12-624329.01))/12,((79776+0.25*(M187*12-867123.01))/12))))</f>
        <v>30923.437291666665</v>
      </c>
      <c r="O187" s="116"/>
      <c r="P187" s="155">
        <v>28032.240000000002</v>
      </c>
      <c r="Q187" s="116">
        <f>+P187+N187+L187</f>
        <v>69593.677291666667</v>
      </c>
      <c r="R187" s="162">
        <f>+H187-Q187</f>
        <v>110406.32270833333</v>
      </c>
      <c r="S187" s="184"/>
    </row>
    <row r="188" spans="1:19" s="111" customFormat="1" ht="39.950000000000003" customHeight="1" x14ac:dyDescent="0.2">
      <c r="A188" s="385" t="s">
        <v>99</v>
      </c>
      <c r="B188" s="386"/>
      <c r="C188" s="100"/>
      <c r="D188" s="100"/>
      <c r="E188" s="100"/>
      <c r="F188" s="325"/>
      <c r="G188" s="325"/>
      <c r="H188" s="101">
        <f t="shared" ref="H188:R188" si="75">SUM(H187:H187)</f>
        <v>180000</v>
      </c>
      <c r="I188" s="101">
        <f t="shared" si="75"/>
        <v>5166</v>
      </c>
      <c r="J188" s="101">
        <f t="shared" si="75"/>
        <v>5472</v>
      </c>
      <c r="K188" s="101">
        <f t="shared" si="75"/>
        <v>0</v>
      </c>
      <c r="L188" s="101">
        <f t="shared" si="75"/>
        <v>10638</v>
      </c>
      <c r="M188" s="101">
        <f t="shared" si="75"/>
        <v>169362</v>
      </c>
      <c r="N188" s="101">
        <f t="shared" si="75"/>
        <v>30923.437291666665</v>
      </c>
      <c r="O188" s="101">
        <f t="shared" si="75"/>
        <v>0</v>
      </c>
      <c r="P188" s="101">
        <f t="shared" si="75"/>
        <v>28032.240000000002</v>
      </c>
      <c r="Q188" s="101">
        <f t="shared" si="75"/>
        <v>69593.677291666667</v>
      </c>
      <c r="R188" s="101">
        <f t="shared" si="75"/>
        <v>110406.32270833333</v>
      </c>
      <c r="S188" s="115"/>
    </row>
    <row r="189" spans="1:19" s="115" customFormat="1" ht="39.950000000000003" customHeight="1" thickBot="1" x14ac:dyDescent="0.25">
      <c r="A189" s="168"/>
      <c r="B189" s="168"/>
      <c r="C189" s="168"/>
      <c r="D189" s="168"/>
      <c r="E189" s="168"/>
      <c r="F189" s="173"/>
      <c r="G189" s="173"/>
      <c r="H189" s="114"/>
      <c r="I189" s="114"/>
      <c r="J189" s="114"/>
      <c r="K189" s="114"/>
      <c r="L189" s="114"/>
      <c r="M189" s="114"/>
      <c r="N189" s="114"/>
      <c r="O189" s="114"/>
      <c r="P189" s="114"/>
      <c r="Q189" s="114"/>
      <c r="R189" s="114"/>
    </row>
    <row r="190" spans="1:19" s="115" customFormat="1" ht="39.950000000000003" customHeight="1" thickBot="1" x14ac:dyDescent="0.25">
      <c r="A190" s="171" t="s">
        <v>145</v>
      </c>
      <c r="B190" s="172"/>
      <c r="C190" s="172"/>
      <c r="D190" s="172"/>
      <c r="E190" s="172"/>
      <c r="F190" s="185"/>
      <c r="G190" s="185"/>
      <c r="H190" s="172"/>
      <c r="I190" s="172"/>
      <c r="J190" s="172"/>
      <c r="K190" s="172"/>
      <c r="L190" s="172"/>
      <c r="M190" s="172"/>
      <c r="N190" s="172"/>
      <c r="O190" s="172"/>
      <c r="P190" s="172"/>
      <c r="Q190" s="172"/>
      <c r="R190" s="172"/>
    </row>
    <row r="191" spans="1:19" s="111" customFormat="1" ht="39.950000000000003" customHeight="1" x14ac:dyDescent="0.2">
      <c r="A191" s="156">
        <f>+A187+1</f>
        <v>84</v>
      </c>
      <c r="B191" s="166" t="s">
        <v>380</v>
      </c>
      <c r="C191" s="152" t="s">
        <v>336</v>
      </c>
      <c r="D191" s="153" t="s">
        <v>381</v>
      </c>
      <c r="E191" s="153" t="s">
        <v>179</v>
      </c>
      <c r="F191" s="154" t="s">
        <v>599</v>
      </c>
      <c r="G191" s="154" t="s">
        <v>630</v>
      </c>
      <c r="H191" s="190">
        <v>150000</v>
      </c>
      <c r="I191" s="118">
        <f>H191*2.87%</f>
        <v>4305</v>
      </c>
      <c r="J191" s="118">
        <f>+H191*3.04%</f>
        <v>4560</v>
      </c>
      <c r="K191" s="118"/>
      <c r="L191" s="116">
        <f>+J191+I191+K191</f>
        <v>8865</v>
      </c>
      <c r="M191" s="116">
        <f>+H191-L191</f>
        <v>141135</v>
      </c>
      <c r="N191" s="116">
        <f>+IF(M191*12&lt;=416220.01,0,IF(M191*12&lt;=624329.01,(((M191*12-416220.01)*0.15)/12),IF((M191*12&lt;=867123.01),(31216+0.2*(M191*12-624329.01))/12,((79776+0.25*(M191*12-867123.01))/12))))-O191</f>
        <v>23866.687291666665</v>
      </c>
      <c r="O191" s="116"/>
      <c r="P191" s="116">
        <v>3656.21</v>
      </c>
      <c r="Q191" s="116">
        <f>+P191+N191+L191</f>
        <v>36387.897291666668</v>
      </c>
      <c r="R191" s="155">
        <f>+H191-Q191</f>
        <v>113612.10270833333</v>
      </c>
      <c r="S191" s="115"/>
    </row>
    <row r="192" spans="1:19" s="115" customFormat="1" ht="39.950000000000003" customHeight="1" x14ac:dyDescent="0.2">
      <c r="A192" s="156">
        <f>+A191+1</f>
        <v>85</v>
      </c>
      <c r="B192" s="166" t="s">
        <v>419</v>
      </c>
      <c r="C192" s="152" t="s">
        <v>336</v>
      </c>
      <c r="D192" s="153" t="s">
        <v>313</v>
      </c>
      <c r="E192" s="153" t="s">
        <v>179</v>
      </c>
      <c r="F192" s="174" t="s">
        <v>610</v>
      </c>
      <c r="G192" s="174" t="s">
        <v>640</v>
      </c>
      <c r="H192" s="190">
        <v>60000</v>
      </c>
      <c r="I192" s="97">
        <f>H192*2.87%</f>
        <v>1722</v>
      </c>
      <c r="J192" s="118">
        <f t="shared" ref="J192:J195" si="76">+H192*3.04%</f>
        <v>1824</v>
      </c>
      <c r="K192" s="118"/>
      <c r="L192" s="116">
        <f>+J192+I192+K192</f>
        <v>3546</v>
      </c>
      <c r="M192" s="116">
        <f>+H192-L192</f>
        <v>56454</v>
      </c>
      <c r="N192" s="116">
        <v>3348.03</v>
      </c>
      <c r="O192" s="116">
        <v>0</v>
      </c>
      <c r="P192" s="155">
        <v>25</v>
      </c>
      <c r="Q192" s="116">
        <f>+P192+N192+L192</f>
        <v>6919.0300000000007</v>
      </c>
      <c r="R192" s="162">
        <f>+H192-Q192</f>
        <v>53080.97</v>
      </c>
    </row>
    <row r="193" spans="1:19" s="115" customFormat="1" ht="39.950000000000003" customHeight="1" x14ac:dyDescent="0.2">
      <c r="A193" s="156">
        <f>+A192+1</f>
        <v>86</v>
      </c>
      <c r="B193" s="166" t="s">
        <v>637</v>
      </c>
      <c r="C193" s="152" t="s">
        <v>335</v>
      </c>
      <c r="D193" s="153" t="s">
        <v>641</v>
      </c>
      <c r="E193" s="153" t="s">
        <v>179</v>
      </c>
      <c r="F193" s="174" t="s">
        <v>610</v>
      </c>
      <c r="G193" s="174" t="s">
        <v>640</v>
      </c>
      <c r="H193" s="190">
        <v>50000</v>
      </c>
      <c r="I193" s="97">
        <f>H193*2.87%</f>
        <v>1435</v>
      </c>
      <c r="J193" s="118">
        <f t="shared" si="76"/>
        <v>1520</v>
      </c>
      <c r="K193" s="118"/>
      <c r="L193" s="116">
        <f>+J193+I193+K193</f>
        <v>2955</v>
      </c>
      <c r="M193" s="116">
        <f>+H193-L193</f>
        <v>47045</v>
      </c>
      <c r="N193" s="116">
        <f>+IF(M193*12&lt;=416220.01,0,IF(M193*12&lt;=624329.01,(((M193*12-416220.01)*0.15)/12),IF((M193*12&lt;=867123.01),(31216+0.2*(M193*12-624329.01))/12,((79776+0.25*(M193*12-867123.01))/12))))-O193</f>
        <v>1853.9998749999997</v>
      </c>
      <c r="O193" s="116"/>
      <c r="P193" s="155">
        <v>25</v>
      </c>
      <c r="Q193" s="116">
        <f>+P193+N193+L193</f>
        <v>4833.9998749999995</v>
      </c>
      <c r="R193" s="162">
        <f>+H193-Q193</f>
        <v>45166.000124999999</v>
      </c>
    </row>
    <row r="194" spans="1:19" s="115" customFormat="1" ht="39.950000000000003" customHeight="1" x14ac:dyDescent="0.2">
      <c r="A194" s="156">
        <f>+A193+1</f>
        <v>87</v>
      </c>
      <c r="B194" s="166" t="s">
        <v>496</v>
      </c>
      <c r="C194" s="152" t="s">
        <v>336</v>
      </c>
      <c r="D194" s="153" t="s">
        <v>648</v>
      </c>
      <c r="E194" s="153" t="s">
        <v>179</v>
      </c>
      <c r="F194" s="174" t="s">
        <v>609</v>
      </c>
      <c r="G194" s="174" t="s">
        <v>650</v>
      </c>
      <c r="H194" s="190">
        <v>95000</v>
      </c>
      <c r="I194" s="97">
        <f t="shared" ref="I194:I195" si="77">H194*2.87%</f>
        <v>2726.5</v>
      </c>
      <c r="J194" s="118">
        <f t="shared" si="76"/>
        <v>2888</v>
      </c>
      <c r="K194" s="118">
        <v>1919.72</v>
      </c>
      <c r="L194" s="116">
        <f t="shared" ref="L194:L195" si="78">+J194+I194+K194</f>
        <v>7534.22</v>
      </c>
      <c r="M194" s="116">
        <f t="shared" ref="M194:M195" si="79">+H194-L194</f>
        <v>87465.78</v>
      </c>
      <c r="N194" s="116">
        <v>10449.370000000001</v>
      </c>
      <c r="O194" s="116"/>
      <c r="P194" s="155">
        <v>25</v>
      </c>
      <c r="Q194" s="116">
        <f t="shared" ref="Q194:Q195" si="80">+P194+N194+L194</f>
        <v>18008.59</v>
      </c>
      <c r="R194" s="162">
        <f t="shared" ref="R194:R195" si="81">+H194-Q194</f>
        <v>76991.41</v>
      </c>
    </row>
    <row r="195" spans="1:19" s="115" customFormat="1" ht="39.950000000000003" customHeight="1" x14ac:dyDescent="0.2">
      <c r="A195" s="156">
        <f>+A194+1</f>
        <v>88</v>
      </c>
      <c r="B195" s="166" t="s">
        <v>647</v>
      </c>
      <c r="C195" s="152" t="s">
        <v>335</v>
      </c>
      <c r="D195" s="153" t="s">
        <v>649</v>
      </c>
      <c r="E195" s="153" t="s">
        <v>179</v>
      </c>
      <c r="F195" s="174" t="s">
        <v>609</v>
      </c>
      <c r="G195" s="174" t="s">
        <v>650</v>
      </c>
      <c r="H195" s="190">
        <v>50000</v>
      </c>
      <c r="I195" s="97">
        <f t="shared" si="77"/>
        <v>1435</v>
      </c>
      <c r="J195" s="118">
        <f t="shared" si="76"/>
        <v>1520</v>
      </c>
      <c r="K195" s="118"/>
      <c r="L195" s="116">
        <f t="shared" si="78"/>
        <v>2955</v>
      </c>
      <c r="M195" s="116">
        <f t="shared" si="79"/>
        <v>47045</v>
      </c>
      <c r="N195" s="116">
        <f t="shared" ref="N195" si="82">+IF(M195*12&lt;=416220.01,0,IF(M195*12&lt;=624329.01,(((M195*12-416220.01)*0.15)/12),IF((M195*12&lt;=867123.01),(31216+0.2*(M195*12-624329.01))/12,((79776+0.25*(M195*12-867123.01))/12))))-O195</f>
        <v>1853.9998749999997</v>
      </c>
      <c r="O195" s="116"/>
      <c r="P195" s="155">
        <v>25</v>
      </c>
      <c r="Q195" s="116">
        <f t="shared" si="80"/>
        <v>4833.9998749999995</v>
      </c>
      <c r="R195" s="162">
        <f t="shared" si="81"/>
        <v>45166.000124999999</v>
      </c>
    </row>
    <row r="196" spans="1:19" s="115" customFormat="1" ht="39.950000000000003" customHeight="1" x14ac:dyDescent="0.2">
      <c r="A196" s="385" t="s">
        <v>99</v>
      </c>
      <c r="B196" s="386"/>
      <c r="C196" s="100"/>
      <c r="D196" s="100"/>
      <c r="E196" s="100"/>
      <c r="F196" s="325"/>
      <c r="G196" s="325"/>
      <c r="H196" s="101">
        <f>SUM(H191:H195)</f>
        <v>405000</v>
      </c>
      <c r="I196" s="101">
        <f t="shared" ref="I196:R196" si="83">SUM(I191:I195)</f>
        <v>11623.5</v>
      </c>
      <c r="J196" s="101">
        <f t="shared" si="83"/>
        <v>12312</v>
      </c>
      <c r="K196" s="101">
        <f t="shared" si="83"/>
        <v>1919.72</v>
      </c>
      <c r="L196" s="101">
        <f t="shared" si="83"/>
        <v>25855.22</v>
      </c>
      <c r="M196" s="101">
        <f t="shared" si="83"/>
        <v>379144.78</v>
      </c>
      <c r="N196" s="101">
        <f t="shared" si="83"/>
        <v>41372.087041666666</v>
      </c>
      <c r="O196" s="101">
        <f t="shared" si="83"/>
        <v>0</v>
      </c>
      <c r="P196" s="101">
        <f t="shared" si="83"/>
        <v>3756.21</v>
      </c>
      <c r="Q196" s="101">
        <f t="shared" si="83"/>
        <v>70983.517041666666</v>
      </c>
      <c r="R196" s="101">
        <f t="shared" si="83"/>
        <v>334016.48295833333</v>
      </c>
    </row>
    <row r="197" spans="1:19" s="111" customFormat="1" ht="39.950000000000003" customHeight="1" thickBot="1" x14ac:dyDescent="0.25">
      <c r="A197" s="168"/>
      <c r="B197" s="168"/>
      <c r="C197" s="168"/>
      <c r="D197" s="168"/>
      <c r="E197" s="168"/>
      <c r="F197" s="173"/>
      <c r="G197" s="173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5"/>
    </row>
    <row r="198" spans="1:19" s="184" customFormat="1" ht="39.950000000000003" customHeight="1" thickBot="1" x14ac:dyDescent="0.25">
      <c r="A198" s="171" t="s">
        <v>146</v>
      </c>
      <c r="B198" s="172"/>
      <c r="C198" s="172"/>
      <c r="D198" s="172"/>
      <c r="E198" s="172"/>
      <c r="F198" s="185"/>
      <c r="G198" s="185"/>
      <c r="H198" s="172"/>
      <c r="I198" s="172"/>
      <c r="J198" s="172"/>
      <c r="K198" s="172"/>
      <c r="L198" s="172"/>
      <c r="M198" s="172"/>
      <c r="N198" s="172"/>
      <c r="O198" s="172"/>
      <c r="P198" s="172"/>
      <c r="Q198" s="172"/>
      <c r="R198" s="172"/>
    </row>
    <row r="199" spans="1:19" s="181" customFormat="1" ht="39.950000000000003" customHeight="1" x14ac:dyDescent="0.2">
      <c r="A199" s="156">
        <f>+A195+1</f>
        <v>89</v>
      </c>
      <c r="B199" s="163" t="s">
        <v>351</v>
      </c>
      <c r="C199" s="152" t="s">
        <v>335</v>
      </c>
      <c r="D199" s="163" t="s">
        <v>346</v>
      </c>
      <c r="E199" s="153" t="s">
        <v>179</v>
      </c>
      <c r="F199" s="174" t="s">
        <v>609</v>
      </c>
      <c r="G199" s="174" t="s">
        <v>650</v>
      </c>
      <c r="H199" s="159">
        <v>70000</v>
      </c>
      <c r="I199" s="118">
        <f t="shared" ref="I199" si="84">H199*2.87%</f>
        <v>2009</v>
      </c>
      <c r="J199" s="118">
        <f>+H199*3.04%</f>
        <v>2128</v>
      </c>
      <c r="K199" s="118"/>
      <c r="L199" s="116">
        <f>+J199+I199+K199</f>
        <v>4137</v>
      </c>
      <c r="M199" s="116">
        <f>+H199-L199</f>
        <v>65863</v>
      </c>
      <c r="N199" s="116">
        <f t="shared" ref="N199:N200" si="85">+IF(M199*12&lt;=416220.01,0,IF(M199*12&lt;=624329.01,(((M199*12-416220.01)*0.15)/12),IF((M199*12&lt;=867123.01),(31216+0.2*(M199*12-624329.01))/12,((79776+0.25*(M199*12-867123.01))/12))))-O199</f>
        <v>5368.4498333333331</v>
      </c>
      <c r="O199" s="116"/>
      <c r="P199" s="159">
        <v>25</v>
      </c>
      <c r="Q199" s="116">
        <f>+P199+N199+L199</f>
        <v>9530.4498333333322</v>
      </c>
      <c r="R199" s="155">
        <f>+H199-Q199</f>
        <v>60469.550166666668</v>
      </c>
      <c r="S199" s="184"/>
    </row>
    <row r="200" spans="1:19" s="111" customFormat="1" ht="39.950000000000003" customHeight="1" x14ac:dyDescent="0.2">
      <c r="A200" s="156">
        <f>+A199+1</f>
        <v>90</v>
      </c>
      <c r="B200" s="163" t="s">
        <v>185</v>
      </c>
      <c r="C200" s="152" t="s">
        <v>335</v>
      </c>
      <c r="D200" s="163" t="s">
        <v>184</v>
      </c>
      <c r="E200" s="153" t="s">
        <v>179</v>
      </c>
      <c r="F200" s="322" t="s">
        <v>588</v>
      </c>
      <c r="G200" s="322" t="s">
        <v>623</v>
      </c>
      <c r="H200" s="159">
        <v>70000</v>
      </c>
      <c r="I200" s="118">
        <f>H200*2.87%</f>
        <v>2009</v>
      </c>
      <c r="J200" s="118">
        <f t="shared" ref="J200" si="86">+H200*3.04%</f>
        <v>2128</v>
      </c>
      <c r="K200" s="118"/>
      <c r="L200" s="116">
        <f>+J200+I200+K200</f>
        <v>4137</v>
      </c>
      <c r="M200" s="116">
        <f>+H200-L200</f>
        <v>65863</v>
      </c>
      <c r="N200" s="116">
        <f t="shared" si="85"/>
        <v>5368.4498333333331</v>
      </c>
      <c r="O200" s="116"/>
      <c r="P200" s="155">
        <v>25</v>
      </c>
      <c r="Q200" s="116">
        <f>+P200+N200+L200</f>
        <v>9530.4498333333322</v>
      </c>
      <c r="R200" s="155">
        <f>+H200-Q200</f>
        <v>60469.550166666668</v>
      </c>
      <c r="S200" s="115"/>
    </row>
    <row r="201" spans="1:19" s="181" customFormat="1" ht="39.950000000000003" customHeight="1" x14ac:dyDescent="0.2">
      <c r="A201" s="385" t="s">
        <v>99</v>
      </c>
      <c r="B201" s="386"/>
      <c r="C201" s="100"/>
      <c r="D201" s="100"/>
      <c r="E201" s="100"/>
      <c r="F201" s="325"/>
      <c r="G201" s="325"/>
      <c r="H201" s="101">
        <f>SUM(H199:H200)</f>
        <v>140000</v>
      </c>
      <c r="I201" s="101">
        <f t="shared" ref="I201:R201" si="87">SUM(I199:I200)</f>
        <v>4018</v>
      </c>
      <c r="J201" s="101">
        <f t="shared" si="87"/>
        <v>4256</v>
      </c>
      <c r="K201" s="101">
        <f t="shared" si="87"/>
        <v>0</v>
      </c>
      <c r="L201" s="101">
        <f t="shared" si="87"/>
        <v>8274</v>
      </c>
      <c r="M201" s="101">
        <f t="shared" si="87"/>
        <v>131726</v>
      </c>
      <c r="N201" s="101">
        <f t="shared" si="87"/>
        <v>10736.899666666666</v>
      </c>
      <c r="O201" s="101">
        <f t="shared" si="87"/>
        <v>0</v>
      </c>
      <c r="P201" s="101">
        <f t="shared" si="87"/>
        <v>50</v>
      </c>
      <c r="Q201" s="101">
        <f t="shared" si="87"/>
        <v>19060.899666666664</v>
      </c>
      <c r="R201" s="101">
        <f t="shared" si="87"/>
        <v>120939.10033333334</v>
      </c>
      <c r="S201" s="184"/>
    </row>
    <row r="202" spans="1:19" s="111" customFormat="1" ht="39.950000000000003" customHeight="1" thickBot="1" x14ac:dyDescent="0.25">
      <c r="A202" s="113"/>
      <c r="B202" s="144"/>
      <c r="C202" s="113"/>
      <c r="D202" s="192"/>
      <c r="E202" s="192"/>
      <c r="F202" s="336"/>
      <c r="G202" s="336"/>
      <c r="S202" s="115"/>
    </row>
    <row r="203" spans="1:19" s="111" customFormat="1" ht="39.950000000000003" customHeight="1" thickBot="1" x14ac:dyDescent="0.25">
      <c r="A203" s="171" t="s">
        <v>252</v>
      </c>
      <c r="B203" s="172"/>
      <c r="C203" s="172"/>
      <c r="D203" s="172"/>
      <c r="E203" s="172"/>
      <c r="F203" s="185"/>
      <c r="G203" s="185"/>
      <c r="H203" s="172"/>
      <c r="I203" s="172"/>
      <c r="J203" s="172"/>
      <c r="K203" s="172"/>
      <c r="L203" s="172"/>
      <c r="M203" s="172"/>
      <c r="N203" s="172"/>
      <c r="O203" s="172"/>
      <c r="P203" s="172"/>
      <c r="Q203" s="172"/>
      <c r="R203" s="172"/>
      <c r="S203" s="115"/>
    </row>
    <row r="204" spans="1:19" s="115" customFormat="1" ht="39.950000000000003" customHeight="1" x14ac:dyDescent="0.2">
      <c r="A204" s="152">
        <f>+A200+1</f>
        <v>91</v>
      </c>
      <c r="B204" s="157" t="s">
        <v>587</v>
      </c>
      <c r="C204" s="130" t="s">
        <v>335</v>
      </c>
      <c r="D204" s="311" t="s">
        <v>589</v>
      </c>
      <c r="E204" s="153" t="s">
        <v>179</v>
      </c>
      <c r="F204" s="322" t="s">
        <v>588</v>
      </c>
      <c r="G204" s="322" t="s">
        <v>623</v>
      </c>
      <c r="H204" s="116">
        <v>170000</v>
      </c>
      <c r="I204" s="116">
        <f>H204*2.87%</f>
        <v>4879</v>
      </c>
      <c r="J204" s="118">
        <f t="shared" ref="J204" si="88">+H204*3.04%</f>
        <v>5168</v>
      </c>
      <c r="K204" s="118"/>
      <c r="L204" s="116">
        <f>+J204+I204+K204</f>
        <v>10047</v>
      </c>
      <c r="M204" s="116">
        <f>+H204-L204</f>
        <v>159953</v>
      </c>
      <c r="N204" s="116">
        <v>28571.19</v>
      </c>
      <c r="O204" s="116"/>
      <c r="P204" s="155">
        <v>4525</v>
      </c>
      <c r="Q204" s="116">
        <f>+P204+N204+L204</f>
        <v>43143.19</v>
      </c>
      <c r="R204" s="155">
        <f>+H204-Q204</f>
        <v>126856.81</v>
      </c>
    </row>
    <row r="205" spans="1:19" s="115" customFormat="1" ht="39.950000000000003" customHeight="1" x14ac:dyDescent="0.2">
      <c r="A205" s="385" t="s">
        <v>99</v>
      </c>
      <c r="B205" s="386"/>
      <c r="C205" s="100"/>
      <c r="D205" s="100"/>
      <c r="E205" s="182"/>
      <c r="F205" s="326"/>
      <c r="G205" s="327"/>
      <c r="H205" s="101">
        <f t="shared" ref="H205:R205" si="89">+SUM(H204:H204)</f>
        <v>170000</v>
      </c>
      <c r="I205" s="101">
        <f t="shared" si="89"/>
        <v>4879</v>
      </c>
      <c r="J205" s="101">
        <f t="shared" si="89"/>
        <v>5168</v>
      </c>
      <c r="K205" s="101">
        <f t="shared" si="89"/>
        <v>0</v>
      </c>
      <c r="L205" s="101">
        <f t="shared" si="89"/>
        <v>10047</v>
      </c>
      <c r="M205" s="101">
        <f t="shared" si="89"/>
        <v>159953</v>
      </c>
      <c r="N205" s="101">
        <f t="shared" si="89"/>
        <v>28571.19</v>
      </c>
      <c r="O205" s="101">
        <f t="shared" si="89"/>
        <v>0</v>
      </c>
      <c r="P205" s="101">
        <f t="shared" si="89"/>
        <v>4525</v>
      </c>
      <c r="Q205" s="101">
        <f t="shared" si="89"/>
        <v>43143.19</v>
      </c>
      <c r="R205" s="101">
        <f t="shared" si="89"/>
        <v>126856.81</v>
      </c>
    </row>
    <row r="206" spans="1:19" s="184" customFormat="1" ht="39.950000000000003" customHeight="1" thickBot="1" x14ac:dyDescent="0.25">
      <c r="A206" s="173"/>
      <c r="B206" s="173"/>
      <c r="C206" s="173"/>
      <c r="D206" s="173"/>
      <c r="E206" s="173"/>
      <c r="F206" s="173"/>
      <c r="G206" s="17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</row>
    <row r="207" spans="1:19" s="111" customFormat="1" ht="39.950000000000003" customHeight="1" thickBot="1" x14ac:dyDescent="0.25">
      <c r="A207" s="171" t="s">
        <v>314</v>
      </c>
      <c r="B207" s="172"/>
      <c r="C207" s="172"/>
      <c r="D207" s="172"/>
      <c r="E207" s="172"/>
      <c r="F207" s="185"/>
      <c r="G207" s="185"/>
      <c r="H207" s="172"/>
      <c r="I207" s="172"/>
      <c r="J207" s="172"/>
      <c r="K207" s="185"/>
      <c r="L207" s="172"/>
      <c r="M207" s="172"/>
      <c r="N207" s="172"/>
      <c r="O207" s="172"/>
      <c r="P207" s="172"/>
      <c r="Q207" s="172"/>
      <c r="R207" s="172"/>
      <c r="S207" s="115"/>
    </row>
    <row r="208" spans="1:19" s="184" customFormat="1" ht="39.950000000000003" customHeight="1" x14ac:dyDescent="0.2">
      <c r="A208" s="156">
        <f>+A204+1</f>
        <v>92</v>
      </c>
      <c r="B208" s="163" t="s">
        <v>475</v>
      </c>
      <c r="C208" s="152" t="s">
        <v>335</v>
      </c>
      <c r="D208" s="153" t="s">
        <v>477</v>
      </c>
      <c r="E208" s="153" t="s">
        <v>179</v>
      </c>
      <c r="F208" s="174" t="s">
        <v>631</v>
      </c>
      <c r="G208" s="174" t="s">
        <v>663</v>
      </c>
      <c r="H208" s="118">
        <v>145000</v>
      </c>
      <c r="I208" s="97">
        <f>H208*2.87%</f>
        <v>4161.5</v>
      </c>
      <c r="J208" s="97">
        <f>+H208*3.04%</f>
        <v>4408</v>
      </c>
      <c r="K208" s="97"/>
      <c r="L208" s="116">
        <f>+J208+I208+K208</f>
        <v>8569.5</v>
      </c>
      <c r="M208" s="116">
        <f>+H208-L208</f>
        <v>136430.5</v>
      </c>
      <c r="N208" s="116">
        <f t="shared" ref="N208:N213" si="90">+IF(M208*12&lt;=416220.01,0,IF(M208*12&lt;=624329.01,(((M208*12-416220.01)*0.15)/12),IF((M208*12&lt;=867123.01),(31216+0.2*(M208*12-624329.01))/12,((79776+0.25*(M208*12-867123.01))/12))))-O208</f>
        <v>22690.562291666665</v>
      </c>
      <c r="O208" s="116"/>
      <c r="P208" s="159">
        <f>100+125</f>
        <v>225</v>
      </c>
      <c r="Q208" s="116">
        <f t="shared" ref="Q208:Q213" si="91">+P208+N208+L208</f>
        <v>31485.062291666665</v>
      </c>
      <c r="R208" s="162">
        <f t="shared" ref="R208:R213" si="92">+H208-Q208</f>
        <v>113514.93770833334</v>
      </c>
    </row>
    <row r="209" spans="1:19" s="111" customFormat="1" ht="39.950000000000003" customHeight="1" x14ac:dyDescent="0.2">
      <c r="A209" s="156">
        <f>+A208+1</f>
        <v>93</v>
      </c>
      <c r="B209" s="163" t="s">
        <v>65</v>
      </c>
      <c r="C209" s="152" t="s">
        <v>335</v>
      </c>
      <c r="D209" s="153" t="s">
        <v>77</v>
      </c>
      <c r="E209" s="153" t="s">
        <v>179</v>
      </c>
      <c r="F209" s="174" t="s">
        <v>609</v>
      </c>
      <c r="G209" s="174" t="s">
        <v>650</v>
      </c>
      <c r="H209" s="118">
        <v>95000</v>
      </c>
      <c r="I209" s="97">
        <f t="shared" ref="I209" si="93">H209*2.87%</f>
        <v>2726.5</v>
      </c>
      <c r="J209" s="97">
        <f t="shared" ref="J209" si="94">+H209*3.04%</f>
        <v>2888</v>
      </c>
      <c r="K209" s="97"/>
      <c r="L209" s="118">
        <f t="shared" ref="L209:L213" si="95">+J209+I209+K209</f>
        <v>5614.5</v>
      </c>
      <c r="M209" s="118">
        <f t="shared" ref="M209:M213" si="96">+H209-L209</f>
        <v>89385.5</v>
      </c>
      <c r="N209" s="116">
        <v>6773.36</v>
      </c>
      <c r="O209" s="118"/>
      <c r="P209" s="159">
        <v>2524.7600000000002</v>
      </c>
      <c r="Q209" s="116">
        <f t="shared" si="91"/>
        <v>14912.619999999999</v>
      </c>
      <c r="R209" s="155">
        <f t="shared" si="92"/>
        <v>80087.38</v>
      </c>
      <c r="S209" s="115"/>
    </row>
    <row r="210" spans="1:19" s="184" customFormat="1" ht="39.950000000000003" customHeight="1" x14ac:dyDescent="0.2">
      <c r="A210" s="156">
        <f t="shared" ref="A210" si="97">+A209+1</f>
        <v>94</v>
      </c>
      <c r="B210" s="163" t="s">
        <v>476</v>
      </c>
      <c r="C210" s="152" t="s">
        <v>335</v>
      </c>
      <c r="D210" s="153" t="s">
        <v>62</v>
      </c>
      <c r="E210" s="153" t="s">
        <v>179</v>
      </c>
      <c r="F210" s="174" t="s">
        <v>631</v>
      </c>
      <c r="G210" s="174" t="s">
        <v>663</v>
      </c>
      <c r="H210" s="118">
        <v>95000</v>
      </c>
      <c r="I210" s="97">
        <f>H210*2.87%</f>
        <v>2726.5</v>
      </c>
      <c r="J210" s="97">
        <f>+H210*3.04%</f>
        <v>2888</v>
      </c>
      <c r="K210" s="97"/>
      <c r="L210" s="118">
        <f>+J210+I210+K210</f>
        <v>5614.5</v>
      </c>
      <c r="M210" s="118">
        <f>+H210-L210</f>
        <v>89385.5</v>
      </c>
      <c r="N210" s="116">
        <v>6773.36</v>
      </c>
      <c r="O210" s="118"/>
      <c r="P210" s="159">
        <v>225</v>
      </c>
      <c r="Q210" s="116">
        <f t="shared" si="91"/>
        <v>12612.86</v>
      </c>
      <c r="R210" s="162">
        <f t="shared" si="92"/>
        <v>82387.14</v>
      </c>
    </row>
    <row r="211" spans="1:19" s="184" customFormat="1" ht="39.950000000000003" customHeight="1" x14ac:dyDescent="0.2">
      <c r="A211" s="156">
        <f>+A210+1</f>
        <v>95</v>
      </c>
      <c r="B211" s="163" t="s">
        <v>420</v>
      </c>
      <c r="C211" s="152" t="s">
        <v>335</v>
      </c>
      <c r="D211" s="153" t="s">
        <v>62</v>
      </c>
      <c r="E211" s="153" t="s">
        <v>179</v>
      </c>
      <c r="F211" s="174" t="s">
        <v>610</v>
      </c>
      <c r="G211" s="174" t="s">
        <v>640</v>
      </c>
      <c r="H211" s="118">
        <v>80000</v>
      </c>
      <c r="I211" s="97">
        <f t="shared" ref="I211" si="98">H211*2.87%</f>
        <v>2296</v>
      </c>
      <c r="J211" s="97">
        <f t="shared" ref="J211" si="99">+H211*3.04%</f>
        <v>2432</v>
      </c>
      <c r="K211" s="97">
        <f>1919.78*2</f>
        <v>3839.56</v>
      </c>
      <c r="L211" s="118">
        <f t="shared" si="95"/>
        <v>8567.56</v>
      </c>
      <c r="M211" s="118">
        <f t="shared" si="96"/>
        <v>71432.44</v>
      </c>
      <c r="N211" s="116">
        <v>0</v>
      </c>
      <c r="O211" s="118">
        <v>0</v>
      </c>
      <c r="P211" s="159">
        <f>100+125</f>
        <v>225</v>
      </c>
      <c r="Q211" s="116">
        <f t="shared" si="91"/>
        <v>8792.56</v>
      </c>
      <c r="R211" s="155">
        <f t="shared" si="92"/>
        <v>71207.44</v>
      </c>
    </row>
    <row r="212" spans="1:19" s="111" customFormat="1" ht="39.950000000000003" customHeight="1" x14ac:dyDescent="0.2">
      <c r="A212" s="156">
        <f t="shared" ref="A212" si="100">+A211+1</f>
        <v>96</v>
      </c>
      <c r="B212" s="109" t="s">
        <v>347</v>
      </c>
      <c r="C212" s="108" t="s">
        <v>335</v>
      </c>
      <c r="D212" s="104" t="s">
        <v>484</v>
      </c>
      <c r="E212" s="107" t="s">
        <v>179</v>
      </c>
      <c r="F212" s="102" t="s">
        <v>620</v>
      </c>
      <c r="G212" s="102" t="s">
        <v>652</v>
      </c>
      <c r="H212" s="161">
        <v>80000</v>
      </c>
      <c r="I212" s="97">
        <f>H212*2.87%</f>
        <v>2296</v>
      </c>
      <c r="J212" s="97">
        <f>+H212*3.04%</f>
        <v>2432</v>
      </c>
      <c r="K212" s="97">
        <v>1919.78</v>
      </c>
      <c r="L212" s="118">
        <f t="shared" si="95"/>
        <v>6647.78</v>
      </c>
      <c r="M212" s="118">
        <f t="shared" si="96"/>
        <v>73352.22</v>
      </c>
      <c r="N212" s="116">
        <v>0</v>
      </c>
      <c r="O212" s="118">
        <v>0</v>
      </c>
      <c r="P212" s="159">
        <f>100+125</f>
        <v>225</v>
      </c>
      <c r="Q212" s="116">
        <f t="shared" si="91"/>
        <v>6872.78</v>
      </c>
      <c r="R212" s="162">
        <f t="shared" si="92"/>
        <v>73127.22</v>
      </c>
      <c r="S212" s="115"/>
    </row>
    <row r="213" spans="1:19" s="111" customFormat="1" ht="39.950000000000003" customHeight="1" x14ac:dyDescent="0.2">
      <c r="A213" s="156">
        <f>+A212+1</f>
        <v>97</v>
      </c>
      <c r="B213" s="109" t="s">
        <v>608</v>
      </c>
      <c r="C213" s="108" t="s">
        <v>335</v>
      </c>
      <c r="D213" s="104" t="s">
        <v>617</v>
      </c>
      <c r="E213" s="107" t="s">
        <v>179</v>
      </c>
      <c r="F213" s="174" t="s">
        <v>609</v>
      </c>
      <c r="G213" s="174" t="s">
        <v>650</v>
      </c>
      <c r="H213" s="161">
        <v>50000</v>
      </c>
      <c r="I213" s="97">
        <f>H213*2.87%</f>
        <v>1435</v>
      </c>
      <c r="J213" s="97">
        <f>+H213*3.04%</f>
        <v>1520</v>
      </c>
      <c r="K213" s="97"/>
      <c r="L213" s="118">
        <f t="shared" si="95"/>
        <v>2955</v>
      </c>
      <c r="M213" s="118">
        <f t="shared" si="96"/>
        <v>47045</v>
      </c>
      <c r="N213" s="116">
        <f t="shared" si="90"/>
        <v>1853.9998749999997</v>
      </c>
      <c r="O213" s="118"/>
      <c r="P213" s="159">
        <v>25</v>
      </c>
      <c r="Q213" s="116">
        <f t="shared" si="91"/>
        <v>4833.9998749999995</v>
      </c>
      <c r="R213" s="162">
        <f t="shared" si="92"/>
        <v>45166.000124999999</v>
      </c>
      <c r="S213" s="115"/>
    </row>
    <row r="214" spans="1:19" s="111" customFormat="1" ht="39.950000000000003" customHeight="1" x14ac:dyDescent="0.2">
      <c r="A214" s="156">
        <f>+A213+1</f>
        <v>98</v>
      </c>
      <c r="B214" s="163" t="s">
        <v>452</v>
      </c>
      <c r="C214" s="152" t="s">
        <v>335</v>
      </c>
      <c r="D214" s="104" t="s">
        <v>484</v>
      </c>
      <c r="E214" s="107" t="s">
        <v>179</v>
      </c>
      <c r="F214" s="174" t="s">
        <v>609</v>
      </c>
      <c r="G214" s="174" t="s">
        <v>650</v>
      </c>
      <c r="H214" s="161">
        <v>80000</v>
      </c>
      <c r="I214" s="105">
        <f>H214*2.87%</f>
        <v>2296</v>
      </c>
      <c r="J214" s="105">
        <f>+H214*3.04%</f>
        <v>2432</v>
      </c>
      <c r="K214" s="105"/>
      <c r="L214" s="116">
        <f>+J214+I214+K214</f>
        <v>4728</v>
      </c>
      <c r="M214" s="116">
        <f>+H214-L214</f>
        <v>75272</v>
      </c>
      <c r="N214" s="116">
        <v>7400.94</v>
      </c>
      <c r="O214" s="116"/>
      <c r="P214" s="97">
        <v>225</v>
      </c>
      <c r="Q214" s="116">
        <f>+P214+N214+L214</f>
        <v>12353.939999999999</v>
      </c>
      <c r="R214" s="162">
        <f>H214-Q214</f>
        <v>67646.06</v>
      </c>
      <c r="S214" s="115"/>
    </row>
    <row r="215" spans="1:19" s="111" customFormat="1" ht="39.950000000000003" customHeight="1" x14ac:dyDescent="0.2">
      <c r="A215" s="385" t="s">
        <v>99</v>
      </c>
      <c r="B215" s="386"/>
      <c r="C215" s="100"/>
      <c r="D215" s="100"/>
      <c r="E215" s="100"/>
      <c r="F215" s="325"/>
      <c r="G215" s="337"/>
      <c r="H215" s="101">
        <f>SUM(H208:H214)</f>
        <v>625000</v>
      </c>
      <c r="I215" s="101">
        <f t="shared" ref="I215:R215" si="101">SUM(I208:I214)</f>
        <v>17937.5</v>
      </c>
      <c r="J215" s="101">
        <f t="shared" si="101"/>
        <v>19000</v>
      </c>
      <c r="K215" s="101">
        <f t="shared" si="101"/>
        <v>5759.34</v>
      </c>
      <c r="L215" s="101">
        <f t="shared" si="101"/>
        <v>42696.84</v>
      </c>
      <c r="M215" s="101">
        <f t="shared" si="101"/>
        <v>582303.16</v>
      </c>
      <c r="N215" s="101">
        <f t="shared" si="101"/>
        <v>45492.222166666666</v>
      </c>
      <c r="O215" s="101">
        <f t="shared" si="101"/>
        <v>0</v>
      </c>
      <c r="P215" s="101">
        <f t="shared" si="101"/>
        <v>3674.76</v>
      </c>
      <c r="Q215" s="101">
        <f t="shared" si="101"/>
        <v>91863.822166666665</v>
      </c>
      <c r="R215" s="101">
        <f t="shared" si="101"/>
        <v>533136.17783333338</v>
      </c>
      <c r="S215" s="115"/>
    </row>
    <row r="216" spans="1:19" s="111" customFormat="1" ht="39.950000000000003" customHeight="1" thickBot="1" x14ac:dyDescent="0.25">
      <c r="A216" s="168"/>
      <c r="B216" s="168"/>
      <c r="C216" s="168"/>
      <c r="D216" s="168"/>
      <c r="E216" s="168"/>
      <c r="F216" s="173"/>
      <c r="G216" s="173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115"/>
    </row>
    <row r="217" spans="1:19" s="111" customFormat="1" ht="39.950000000000003" customHeight="1" thickBot="1" x14ac:dyDescent="0.25">
      <c r="A217" s="171" t="s">
        <v>256</v>
      </c>
      <c r="B217" s="172"/>
      <c r="C217" s="172"/>
      <c r="D217" s="172"/>
      <c r="E217" s="172"/>
      <c r="F217" s="185"/>
      <c r="G217" s="185"/>
      <c r="H217" s="172"/>
      <c r="I217" s="172"/>
      <c r="J217" s="172"/>
      <c r="K217" s="172"/>
      <c r="L217" s="172"/>
      <c r="M217" s="172"/>
      <c r="N217" s="172"/>
      <c r="O217" s="172"/>
      <c r="P217" s="172"/>
      <c r="Q217" s="172"/>
      <c r="R217" s="172"/>
      <c r="S217" s="115"/>
    </row>
    <row r="218" spans="1:19" s="111" customFormat="1" ht="39.950000000000003" customHeight="1" x14ac:dyDescent="0.2">
      <c r="A218" s="152">
        <f>+A214+1</f>
        <v>99</v>
      </c>
      <c r="B218" s="163" t="s">
        <v>557</v>
      </c>
      <c r="C218" s="152" t="s">
        <v>335</v>
      </c>
      <c r="D218" s="153" t="s">
        <v>356</v>
      </c>
      <c r="E218" s="153" t="s">
        <v>179</v>
      </c>
      <c r="F218" s="174" t="s">
        <v>610</v>
      </c>
      <c r="G218" s="174" t="s">
        <v>640</v>
      </c>
      <c r="H218" s="116">
        <v>145000</v>
      </c>
      <c r="I218" s="116">
        <f>H218*2.87%</f>
        <v>4161.5</v>
      </c>
      <c r="J218" s="116">
        <f>+H218*3.04%</f>
        <v>4408</v>
      </c>
      <c r="K218" s="116">
        <v>1919.78</v>
      </c>
      <c r="L218" s="116">
        <f t="shared" ref="L218:L220" si="102">+J218+I218+K218</f>
        <v>10489.28</v>
      </c>
      <c r="M218" s="116">
        <f t="shared" ref="M218:M220" si="103">+H218-L218</f>
        <v>134510.72</v>
      </c>
      <c r="N218" s="116">
        <f>+IF(M218*12&lt;=416220.01,0,IF(M218*12&lt;=624329.01,(((M218*12-416220.01)*0.15)/12),IF((M218*12&lt;=867123.01),(31216+0.2*(M218*12-624329.01))/12,((79776+0.25*(M218*12-867123.01))/12))))-O218</f>
        <v>22210.617291666669</v>
      </c>
      <c r="O218" s="116"/>
      <c r="P218" s="159">
        <v>5090.29</v>
      </c>
      <c r="Q218" s="116">
        <f>+P218+N218+L218</f>
        <v>37790.187291666669</v>
      </c>
      <c r="R218" s="159">
        <f>+H218-Q218</f>
        <v>107209.81270833334</v>
      </c>
      <c r="S218" s="115"/>
    </row>
    <row r="219" spans="1:19" s="111" customFormat="1" ht="39.950000000000003" customHeight="1" x14ac:dyDescent="0.2">
      <c r="A219" s="152">
        <f>+A218+1</f>
        <v>100</v>
      </c>
      <c r="B219" s="109" t="s">
        <v>394</v>
      </c>
      <c r="C219" s="108" t="s">
        <v>335</v>
      </c>
      <c r="D219" s="109" t="s">
        <v>390</v>
      </c>
      <c r="E219" s="107" t="s">
        <v>179</v>
      </c>
      <c r="F219" s="174" t="s">
        <v>609</v>
      </c>
      <c r="G219" s="174" t="s">
        <v>650</v>
      </c>
      <c r="H219" s="161">
        <v>110000</v>
      </c>
      <c r="I219" s="118">
        <f>H219*2.87%</f>
        <v>3157</v>
      </c>
      <c r="J219" s="118">
        <f>+H219*3.04%</f>
        <v>3344</v>
      </c>
      <c r="K219" s="118">
        <f>1919.78*3</f>
        <v>5759.34</v>
      </c>
      <c r="L219" s="118">
        <f t="shared" si="102"/>
        <v>12260.34</v>
      </c>
      <c r="M219" s="118">
        <f t="shared" si="103"/>
        <v>97739.66</v>
      </c>
      <c r="N219" s="116">
        <f>+IF(M219*12&lt;=416220.01,0,IF(M219*12&lt;=624329.01,(((M219*12-416220.01)*0.15)/12),IF((M219*12&lt;=867123.01),(31216+0.2*(M219*12-624329.01))/12,((79776+0.25*(M219*12-867123.01))/12))))-O219</f>
        <v>13017.852291666664</v>
      </c>
      <c r="O219" s="118"/>
      <c r="P219" s="155">
        <v>6817.14</v>
      </c>
      <c r="Q219" s="116">
        <f>+P219+N219+L219</f>
        <v>32095.332291666666</v>
      </c>
      <c r="R219" s="155">
        <f>+H219-Q219</f>
        <v>77904.667708333334</v>
      </c>
      <c r="S219" s="115"/>
    </row>
    <row r="220" spans="1:19" s="111" customFormat="1" ht="39.950000000000003" customHeight="1" x14ac:dyDescent="0.2">
      <c r="A220" s="156">
        <f>+A219+1</f>
        <v>101</v>
      </c>
      <c r="B220" s="154" t="s">
        <v>166</v>
      </c>
      <c r="C220" s="156" t="s">
        <v>335</v>
      </c>
      <c r="D220" s="174" t="s">
        <v>315</v>
      </c>
      <c r="E220" s="174" t="s">
        <v>179</v>
      </c>
      <c r="F220" s="174" t="s">
        <v>631</v>
      </c>
      <c r="G220" s="174" t="s">
        <v>663</v>
      </c>
      <c r="H220" s="118">
        <v>55000</v>
      </c>
      <c r="I220" s="118">
        <f>H220*2.87%</f>
        <v>1578.5</v>
      </c>
      <c r="J220" s="118">
        <f>+H220*3.04%</f>
        <v>1672</v>
      </c>
      <c r="K220" s="118">
        <v>0</v>
      </c>
      <c r="L220" s="118">
        <f t="shared" si="102"/>
        <v>3250.5</v>
      </c>
      <c r="M220" s="118">
        <f t="shared" si="103"/>
        <v>51749.5</v>
      </c>
      <c r="N220" s="116">
        <v>0</v>
      </c>
      <c r="O220" s="118"/>
      <c r="P220" s="159">
        <v>5290.29</v>
      </c>
      <c r="Q220" s="116">
        <f>+P220+N220+L220</f>
        <v>8540.7900000000009</v>
      </c>
      <c r="R220" s="155">
        <f>+H220-Q220</f>
        <v>46459.21</v>
      </c>
      <c r="S220" s="115"/>
    </row>
    <row r="221" spans="1:19" s="111" customFormat="1" ht="39.950000000000003" customHeight="1" x14ac:dyDescent="0.2">
      <c r="A221" s="385" t="s">
        <v>99</v>
      </c>
      <c r="B221" s="386"/>
      <c r="C221" s="182"/>
      <c r="D221" s="182"/>
      <c r="E221" s="182"/>
      <c r="F221" s="326"/>
      <c r="G221" s="326"/>
      <c r="H221" s="101">
        <f t="shared" ref="H221:R221" si="104">SUM(H218:H220)</f>
        <v>310000</v>
      </c>
      <c r="I221" s="101">
        <f t="shared" si="104"/>
        <v>8897</v>
      </c>
      <c r="J221" s="101">
        <f t="shared" si="104"/>
        <v>9424</v>
      </c>
      <c r="K221" s="101">
        <f t="shared" si="104"/>
        <v>7679.12</v>
      </c>
      <c r="L221" s="101">
        <f t="shared" si="104"/>
        <v>26000.120000000003</v>
      </c>
      <c r="M221" s="101">
        <f t="shared" si="104"/>
        <v>283999.88</v>
      </c>
      <c r="N221" s="101">
        <f t="shared" si="104"/>
        <v>35228.469583333332</v>
      </c>
      <c r="O221" s="101">
        <f t="shared" si="104"/>
        <v>0</v>
      </c>
      <c r="P221" s="101">
        <f t="shared" si="104"/>
        <v>17197.72</v>
      </c>
      <c r="Q221" s="101">
        <f t="shared" si="104"/>
        <v>78426.30958333335</v>
      </c>
      <c r="R221" s="101">
        <f t="shared" si="104"/>
        <v>231573.69041666665</v>
      </c>
      <c r="S221" s="115"/>
    </row>
    <row r="222" spans="1:19" s="111" customFormat="1" ht="39.950000000000003" customHeight="1" thickBot="1" x14ac:dyDescent="0.25">
      <c r="A222" s="168"/>
      <c r="B222" s="168"/>
      <c r="C222" s="168"/>
      <c r="D222" s="168"/>
      <c r="E222" s="168"/>
      <c r="F222" s="173"/>
      <c r="G222" s="173"/>
      <c r="H222" s="114"/>
      <c r="I222" s="114"/>
      <c r="J222" s="114"/>
      <c r="K222" s="114"/>
      <c r="L222" s="114"/>
      <c r="M222" s="114"/>
      <c r="N222" s="114"/>
      <c r="O222" s="114"/>
      <c r="P222" s="114"/>
      <c r="Q222" s="114"/>
      <c r="R222" s="114"/>
      <c r="S222" s="115"/>
    </row>
    <row r="223" spans="1:19" s="115" customFormat="1" ht="39.950000000000003" customHeight="1" thickBot="1" x14ac:dyDescent="0.25">
      <c r="A223" s="171" t="s">
        <v>192</v>
      </c>
      <c r="B223" s="172"/>
      <c r="C223" s="172"/>
      <c r="D223" s="172"/>
      <c r="E223" s="172"/>
      <c r="F223" s="185"/>
      <c r="G223" s="185"/>
      <c r="H223" s="172"/>
      <c r="I223" s="172"/>
      <c r="J223" s="172"/>
      <c r="K223" s="172"/>
      <c r="L223" s="172"/>
      <c r="M223" s="172"/>
      <c r="N223" s="172"/>
      <c r="O223" s="172"/>
      <c r="P223" s="172"/>
      <c r="Q223" s="172"/>
      <c r="R223" s="172"/>
    </row>
    <row r="224" spans="1:19" s="111" customFormat="1" ht="39.950000000000003" customHeight="1" x14ac:dyDescent="0.2">
      <c r="A224" s="152">
        <f>+A220+1</f>
        <v>102</v>
      </c>
      <c r="B224" s="109" t="s">
        <v>187</v>
      </c>
      <c r="C224" s="108" t="s">
        <v>335</v>
      </c>
      <c r="D224" s="109" t="s">
        <v>615</v>
      </c>
      <c r="E224" s="107" t="s">
        <v>179</v>
      </c>
      <c r="F224" s="322" t="s">
        <v>588</v>
      </c>
      <c r="G224" s="322" t="s">
        <v>623</v>
      </c>
      <c r="H224" s="164">
        <v>95000</v>
      </c>
      <c r="I224" s="97">
        <f t="shared" ref="I224" si="105">H224*2.87%</f>
        <v>2726.5</v>
      </c>
      <c r="J224" s="97">
        <f t="shared" ref="J224" si="106">+H224*3.04%</f>
        <v>2888</v>
      </c>
      <c r="K224" s="97"/>
      <c r="L224" s="118">
        <f>+J224+I224+K224</f>
        <v>5614.5</v>
      </c>
      <c r="M224" s="118">
        <f>+H224-L224</f>
        <v>89385.5</v>
      </c>
      <c r="N224" s="116">
        <f>+IF(M224*12&lt;=416220.01,0,IF(M224*12&lt;=624329.01,(((M224*12-416220.01)*0.15)/12),IF((M224*12&lt;=867123.01),(31216+0.2*(M224*12-624329.01))/12,((79776+0.25*(M224*12-867123.01))/12))))-O224</f>
        <v>10929.312291666667</v>
      </c>
      <c r="O224" s="118"/>
      <c r="P224" s="155">
        <v>3330.29</v>
      </c>
      <c r="Q224" s="116">
        <f>+P224+N224+L224</f>
        <v>19874.102291666666</v>
      </c>
      <c r="R224" s="117">
        <f>+H224-Q224</f>
        <v>75125.89770833333</v>
      </c>
      <c r="S224" s="115"/>
    </row>
    <row r="225" spans="1:19" ht="39.950000000000003" customHeight="1" x14ac:dyDescent="0.2">
      <c r="A225" s="156">
        <f>+A224+1</f>
        <v>103</v>
      </c>
      <c r="B225" s="163" t="s">
        <v>638</v>
      </c>
      <c r="C225" s="152" t="s">
        <v>335</v>
      </c>
      <c r="D225" s="174" t="s">
        <v>590</v>
      </c>
      <c r="E225" s="153" t="s">
        <v>179</v>
      </c>
      <c r="F225" s="322" t="s">
        <v>588</v>
      </c>
      <c r="G225" s="322" t="s">
        <v>623</v>
      </c>
      <c r="H225" s="161">
        <v>50000</v>
      </c>
      <c r="I225" s="105">
        <f>H225*2.87%</f>
        <v>1435</v>
      </c>
      <c r="J225" s="105">
        <f>+H225*3.04%</f>
        <v>1520</v>
      </c>
      <c r="K225" s="105"/>
      <c r="L225" s="116">
        <f>+J225+I225+K225</f>
        <v>2955</v>
      </c>
      <c r="M225" s="116">
        <f>+H225-L225</f>
        <v>47045</v>
      </c>
      <c r="N225" s="116">
        <v>0</v>
      </c>
      <c r="O225" s="116"/>
      <c r="P225" s="155">
        <v>225</v>
      </c>
      <c r="Q225" s="116">
        <f>+P225+N225+L225</f>
        <v>3180</v>
      </c>
      <c r="R225" s="162">
        <f>H225-Q225</f>
        <v>46820</v>
      </c>
    </row>
    <row r="226" spans="1:19" s="115" customFormat="1" ht="39.950000000000003" customHeight="1" x14ac:dyDescent="0.2">
      <c r="A226" s="156">
        <v>101</v>
      </c>
      <c r="B226" s="163" t="s">
        <v>525</v>
      </c>
      <c r="C226" s="152" t="s">
        <v>335</v>
      </c>
      <c r="D226" s="163" t="s">
        <v>315</v>
      </c>
      <c r="E226" s="153" t="s">
        <v>179</v>
      </c>
      <c r="F226" s="322" t="s">
        <v>588</v>
      </c>
      <c r="G226" s="322" t="s">
        <v>623</v>
      </c>
      <c r="H226" s="161">
        <v>55000</v>
      </c>
      <c r="I226" s="105">
        <f>H226*2.87%</f>
        <v>1578.5</v>
      </c>
      <c r="J226" s="105">
        <f>+H226*3.04%</f>
        <v>1672</v>
      </c>
      <c r="K226" s="105"/>
      <c r="L226" s="116">
        <f>+J226+I226+K226</f>
        <v>3250.5</v>
      </c>
      <c r="M226" s="116">
        <f>+H226-L226</f>
        <v>51749.5</v>
      </c>
      <c r="N226" s="116">
        <v>0</v>
      </c>
      <c r="O226" s="116"/>
      <c r="P226" s="97">
        <v>225</v>
      </c>
      <c r="Q226" s="116">
        <f>+P226+N226+L226</f>
        <v>3475.5</v>
      </c>
      <c r="R226" s="162">
        <f>H226-Q226</f>
        <v>51524.5</v>
      </c>
    </row>
    <row r="227" spans="1:19" ht="39.950000000000003" customHeight="1" x14ac:dyDescent="0.2">
      <c r="A227" s="385" t="s">
        <v>99</v>
      </c>
      <c r="B227" s="386"/>
      <c r="C227" s="182"/>
      <c r="D227" s="105"/>
      <c r="E227" s="182"/>
      <c r="F227" s="326"/>
      <c r="G227" s="327"/>
      <c r="H227" s="101">
        <f t="shared" ref="H227:R227" si="107">SUM(H224:H226)</f>
        <v>200000</v>
      </c>
      <c r="I227" s="101">
        <f t="shared" si="107"/>
        <v>5740</v>
      </c>
      <c r="J227" s="101">
        <f t="shared" si="107"/>
        <v>6080</v>
      </c>
      <c r="K227" s="101">
        <f t="shared" si="107"/>
        <v>0</v>
      </c>
      <c r="L227" s="101">
        <f t="shared" si="107"/>
        <v>11820</v>
      </c>
      <c r="M227" s="101">
        <f t="shared" si="107"/>
        <v>188180</v>
      </c>
      <c r="N227" s="101">
        <f t="shared" si="107"/>
        <v>10929.312291666667</v>
      </c>
      <c r="O227" s="101">
        <f t="shared" si="107"/>
        <v>0</v>
      </c>
      <c r="P227" s="101">
        <f t="shared" si="107"/>
        <v>3780.29</v>
      </c>
      <c r="Q227" s="101">
        <f t="shared" si="107"/>
        <v>26529.602291666666</v>
      </c>
      <c r="R227" s="101">
        <f t="shared" si="107"/>
        <v>173470.39770833333</v>
      </c>
    </row>
    <row r="228" spans="1:19" s="115" customFormat="1" ht="39.950000000000003" customHeight="1" thickBot="1" x14ac:dyDescent="0.25">
      <c r="A228" s="168"/>
      <c r="B228" s="168"/>
      <c r="C228" s="168"/>
      <c r="D228" s="168"/>
      <c r="E228" s="168"/>
      <c r="F228" s="173"/>
      <c r="G228" s="173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</row>
    <row r="229" spans="1:19" s="115" customFormat="1" ht="39.950000000000003" customHeight="1" thickBot="1" x14ac:dyDescent="0.25">
      <c r="A229" s="171" t="s">
        <v>186</v>
      </c>
      <c r="B229" s="172"/>
      <c r="C229" s="172"/>
      <c r="D229" s="172"/>
      <c r="E229" s="172"/>
      <c r="F229" s="185"/>
      <c r="G229" s="185"/>
      <c r="H229" s="172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</row>
    <row r="230" spans="1:19" s="115" customFormat="1" ht="39.950000000000003" customHeight="1" x14ac:dyDescent="0.2">
      <c r="A230" s="103">
        <f>+A226+1</f>
        <v>102</v>
      </c>
      <c r="B230" s="109" t="s">
        <v>494</v>
      </c>
      <c r="C230" s="108" t="s">
        <v>335</v>
      </c>
      <c r="D230" s="107" t="s">
        <v>348</v>
      </c>
      <c r="E230" s="153" t="s">
        <v>179</v>
      </c>
      <c r="F230" s="174" t="s">
        <v>631</v>
      </c>
      <c r="G230" s="174" t="s">
        <v>663</v>
      </c>
      <c r="H230" s="97">
        <v>80000</v>
      </c>
      <c r="I230" s="97">
        <f>H230*2.87%</f>
        <v>2296</v>
      </c>
      <c r="J230" s="97">
        <f>+H230*3.04%</f>
        <v>2432</v>
      </c>
      <c r="K230" s="97"/>
      <c r="L230" s="116">
        <f>+J230+I230+K230</f>
        <v>4728</v>
      </c>
      <c r="M230" s="116">
        <f>+H230-L230</f>
        <v>75272</v>
      </c>
      <c r="N230" s="116">
        <f t="shared" ref="N230:N231" si="108">+IF(M230*12&lt;=416220.01,0,IF(M230*12&lt;=624329.01,(((M230*12-416220.01)*0.15)/12),IF((M230*12&lt;=867123.01),(31216+0.2*(M230*12-624329.01))/12,((79776+0.25*(M230*12-867123.01))/12))))-O230</f>
        <v>7400.9372916666662</v>
      </c>
      <c r="O230" s="116"/>
      <c r="P230" s="159">
        <v>14130.33</v>
      </c>
      <c r="Q230" s="116">
        <f>+P230+N230+L230</f>
        <v>26259.267291666667</v>
      </c>
      <c r="R230" s="162">
        <f>+H230-Q230</f>
        <v>53740.732708333337</v>
      </c>
    </row>
    <row r="231" spans="1:19" ht="39.950000000000003" customHeight="1" x14ac:dyDescent="0.2">
      <c r="A231" s="156">
        <f>+A230+1</f>
        <v>103</v>
      </c>
      <c r="B231" s="163" t="s">
        <v>400</v>
      </c>
      <c r="C231" s="152" t="s">
        <v>335</v>
      </c>
      <c r="D231" s="154" t="s">
        <v>348</v>
      </c>
      <c r="E231" s="153" t="s">
        <v>179</v>
      </c>
      <c r="F231" s="102" t="s">
        <v>620</v>
      </c>
      <c r="G231" s="102" t="s">
        <v>652</v>
      </c>
      <c r="H231" s="97">
        <v>80000</v>
      </c>
      <c r="I231" s="105">
        <f>H231*2.87%</f>
        <v>2296</v>
      </c>
      <c r="J231" s="105">
        <f>+H231*3.04%</f>
        <v>2432</v>
      </c>
      <c r="K231" s="105"/>
      <c r="L231" s="116">
        <f>+J231+I231+K231</f>
        <v>4728</v>
      </c>
      <c r="M231" s="116">
        <f>+H231-L231</f>
        <v>75272</v>
      </c>
      <c r="N231" s="116">
        <f t="shared" si="108"/>
        <v>7400.9372916666662</v>
      </c>
      <c r="O231" s="116"/>
      <c r="P231" s="155">
        <v>1290.29</v>
      </c>
      <c r="Q231" s="116">
        <f>+P231+N231+L231</f>
        <v>13419.227291666666</v>
      </c>
      <c r="R231" s="162">
        <f>H231-Q231</f>
        <v>66580.77270833333</v>
      </c>
    </row>
    <row r="232" spans="1:19" s="115" customFormat="1" ht="39.950000000000003" customHeight="1" thickBot="1" x14ac:dyDescent="0.25">
      <c r="A232" s="385" t="s">
        <v>99</v>
      </c>
      <c r="B232" s="386"/>
      <c r="C232" s="182"/>
      <c r="D232" s="182"/>
      <c r="E232" s="182"/>
      <c r="F232" s="326"/>
      <c r="G232" s="327"/>
      <c r="H232" s="101">
        <f t="shared" ref="H232:R232" si="109">SUM(H230:H231)</f>
        <v>160000</v>
      </c>
      <c r="I232" s="101">
        <f t="shared" si="109"/>
        <v>4592</v>
      </c>
      <c r="J232" s="101">
        <f t="shared" si="109"/>
        <v>4864</v>
      </c>
      <c r="K232" s="101">
        <f t="shared" si="109"/>
        <v>0</v>
      </c>
      <c r="L232" s="101">
        <f t="shared" si="109"/>
        <v>9456</v>
      </c>
      <c r="M232" s="101">
        <f t="shared" si="109"/>
        <v>150544</v>
      </c>
      <c r="N232" s="101">
        <f t="shared" si="109"/>
        <v>14801.874583333332</v>
      </c>
      <c r="O232" s="101">
        <f t="shared" si="109"/>
        <v>0</v>
      </c>
      <c r="P232" s="101">
        <f t="shared" si="109"/>
        <v>15420.619999999999</v>
      </c>
      <c r="Q232" s="101">
        <f t="shared" si="109"/>
        <v>39678.494583333333</v>
      </c>
      <c r="R232" s="101">
        <f t="shared" si="109"/>
        <v>120321.50541666667</v>
      </c>
    </row>
    <row r="233" spans="1:19" s="111" customFormat="1" ht="39.950000000000003" customHeight="1" thickBot="1" x14ac:dyDescent="0.25">
      <c r="A233" s="195"/>
      <c r="B233" s="195"/>
      <c r="C233" s="195"/>
      <c r="D233" s="195"/>
      <c r="E233" s="195"/>
      <c r="F233" s="338"/>
      <c r="G233" s="338"/>
      <c r="H233" s="196"/>
      <c r="I233" s="196"/>
      <c r="J233" s="196"/>
      <c r="K233" s="196"/>
      <c r="L233" s="196"/>
      <c r="M233" s="196"/>
      <c r="N233" s="196"/>
      <c r="O233" s="196"/>
      <c r="P233" s="196"/>
      <c r="Q233" s="196"/>
      <c r="R233" s="196"/>
      <c r="S233" s="115"/>
    </row>
    <row r="234" spans="1:19" s="111" customFormat="1" ht="39.950000000000003" customHeight="1" thickBot="1" x14ac:dyDescent="0.25">
      <c r="A234" s="171" t="s">
        <v>12</v>
      </c>
      <c r="B234" s="172"/>
      <c r="C234" s="172"/>
      <c r="D234" s="172"/>
      <c r="E234" s="172"/>
      <c r="F234" s="185"/>
      <c r="G234" s="185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15"/>
    </row>
    <row r="235" spans="1:19" s="99" customFormat="1" ht="39.950000000000003" customHeight="1" x14ac:dyDescent="0.2">
      <c r="A235" s="175">
        <f>+A231+1</f>
        <v>104</v>
      </c>
      <c r="B235" s="66" t="s">
        <v>121</v>
      </c>
      <c r="C235" s="67" t="s">
        <v>335</v>
      </c>
      <c r="D235" s="66" t="s">
        <v>504</v>
      </c>
      <c r="E235" s="174" t="s">
        <v>179</v>
      </c>
      <c r="F235" s="174" t="s">
        <v>609</v>
      </c>
      <c r="G235" s="174" t="s">
        <v>650</v>
      </c>
      <c r="H235" s="118">
        <v>170000</v>
      </c>
      <c r="I235" s="118">
        <f>H235*2.87%</f>
        <v>4879</v>
      </c>
      <c r="J235" s="118">
        <f>+H235*3.04%</f>
        <v>5168</v>
      </c>
      <c r="K235" s="116">
        <v>0</v>
      </c>
      <c r="L235" s="118">
        <f>+J235+I235+K235</f>
        <v>10047</v>
      </c>
      <c r="M235" s="118">
        <f>+H235-L235</f>
        <v>159953</v>
      </c>
      <c r="N235" s="116">
        <f>+IF(M235*12&lt;=416220.01,0,IF(M235*12&lt;=624329.01,(((M235*12-416220.01)*0.15)/12),IF((M235*12&lt;=867123.01),(31216+0.2*(M235*12-624329.01))/12,((79776+0.25*(M235*12-867123.01))/12))))</f>
        <v>28571.187291666665</v>
      </c>
      <c r="O235" s="118"/>
      <c r="P235" s="116">
        <v>225</v>
      </c>
      <c r="Q235" s="116">
        <f>+P235+N235+L235</f>
        <v>38843.187291666662</v>
      </c>
      <c r="R235" s="155">
        <f>+H235-Q235</f>
        <v>131156.81270833334</v>
      </c>
    </row>
    <row r="236" spans="1:19" s="99" customFormat="1" ht="39.950000000000003" customHeight="1" x14ac:dyDescent="0.2">
      <c r="A236" s="385" t="s">
        <v>99</v>
      </c>
      <c r="B236" s="386"/>
      <c r="C236" s="182"/>
      <c r="D236" s="182"/>
      <c r="E236" s="182"/>
      <c r="F236" s="326"/>
      <c r="G236" s="325"/>
      <c r="H236" s="101">
        <f>SUM(H235:H235)</f>
        <v>170000</v>
      </c>
      <c r="I236" s="101">
        <f t="shared" ref="I236:R236" si="110">SUM(I235:I235)</f>
        <v>4879</v>
      </c>
      <c r="J236" s="101">
        <f t="shared" si="110"/>
        <v>5168</v>
      </c>
      <c r="K236" s="101">
        <f t="shared" si="110"/>
        <v>0</v>
      </c>
      <c r="L236" s="101">
        <f t="shared" si="110"/>
        <v>10047</v>
      </c>
      <c r="M236" s="101">
        <f t="shared" si="110"/>
        <v>159953</v>
      </c>
      <c r="N236" s="101">
        <f t="shared" si="110"/>
        <v>28571.187291666665</v>
      </c>
      <c r="O236" s="101">
        <f t="shared" si="110"/>
        <v>0</v>
      </c>
      <c r="P236" s="101">
        <f t="shared" si="110"/>
        <v>225</v>
      </c>
      <c r="Q236" s="101">
        <f t="shared" si="110"/>
        <v>38843.187291666662</v>
      </c>
      <c r="R236" s="101">
        <f t="shared" si="110"/>
        <v>131156.81270833334</v>
      </c>
    </row>
    <row r="237" spans="1:19" s="111" customFormat="1" ht="39.950000000000003" customHeight="1" thickBot="1" x14ac:dyDescent="0.25">
      <c r="A237" s="168"/>
      <c r="B237" s="168"/>
      <c r="C237" s="168"/>
      <c r="D237" s="168"/>
      <c r="E237" s="168"/>
      <c r="F237" s="173"/>
      <c r="G237" s="173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115"/>
    </row>
    <row r="238" spans="1:19" s="111" customFormat="1" ht="39.950000000000003" customHeight="1" thickBot="1" x14ac:dyDescent="0.25">
      <c r="A238" s="171" t="s">
        <v>316</v>
      </c>
      <c r="B238" s="172"/>
      <c r="C238" s="172"/>
      <c r="D238" s="172"/>
      <c r="E238" s="172"/>
      <c r="F238" s="185"/>
      <c r="G238" s="185"/>
      <c r="H238" s="172"/>
      <c r="I238" s="172"/>
      <c r="J238" s="172"/>
      <c r="K238" s="172"/>
      <c r="L238" s="172"/>
      <c r="M238" s="172"/>
      <c r="N238" s="172"/>
      <c r="O238" s="172"/>
      <c r="P238" s="172"/>
      <c r="Q238" s="172"/>
      <c r="R238" s="172"/>
      <c r="S238" s="115"/>
    </row>
    <row r="239" spans="1:19" s="111" customFormat="1" ht="39.950000000000003" customHeight="1" x14ac:dyDescent="0.2">
      <c r="A239" s="175">
        <f>+A235+1</f>
        <v>105</v>
      </c>
      <c r="B239" s="66" t="s">
        <v>317</v>
      </c>
      <c r="C239" s="67" t="s">
        <v>335</v>
      </c>
      <c r="D239" s="66" t="s">
        <v>505</v>
      </c>
      <c r="E239" s="174" t="s">
        <v>179</v>
      </c>
      <c r="F239" s="174" t="s">
        <v>610</v>
      </c>
      <c r="G239" s="174" t="s">
        <v>640</v>
      </c>
      <c r="H239" s="118">
        <v>155000</v>
      </c>
      <c r="I239" s="118">
        <f>H239*2.87%</f>
        <v>4448.5</v>
      </c>
      <c r="J239" s="118">
        <f>+H239*3.04%</f>
        <v>4712</v>
      </c>
      <c r="K239" s="116">
        <v>0</v>
      </c>
      <c r="L239" s="116">
        <f>+J239+I239+K239</f>
        <v>9160.5</v>
      </c>
      <c r="M239" s="116">
        <f>+H239-L239</f>
        <v>145839.5</v>
      </c>
      <c r="N239" s="116">
        <f>+IF(M239*12&lt;=416220.01,0,IF(M239*12&lt;=624329.01,(((M239*12-416220.01)*0.15)/12),IF((M239*12&lt;=867123.01),(31216+0.2*(M239*12-624329.01))/12,((79776+0.25*(M239*12-867123.01))/12))))</f>
        <v>25042.812291666665</v>
      </c>
      <c r="O239" s="116"/>
      <c r="P239" s="155">
        <v>225</v>
      </c>
      <c r="Q239" s="116">
        <f>+P239+N239+L239</f>
        <v>34428.312291666662</v>
      </c>
      <c r="R239" s="155">
        <f>+H239-Q239</f>
        <v>120571.68770833334</v>
      </c>
      <c r="S239" s="115"/>
    </row>
    <row r="240" spans="1:19" s="111" customFormat="1" ht="39.950000000000003" customHeight="1" x14ac:dyDescent="0.2">
      <c r="A240" s="385" t="s">
        <v>99</v>
      </c>
      <c r="B240" s="386"/>
      <c r="C240" s="182"/>
      <c r="D240" s="182"/>
      <c r="E240" s="182"/>
      <c r="F240" s="326"/>
      <c r="G240" s="325"/>
      <c r="H240" s="101">
        <f>SUM(H239:H239)</f>
        <v>155000</v>
      </c>
      <c r="I240" s="101">
        <f t="shared" ref="I240:R240" si="111">SUM(I239:I239)</f>
        <v>4448.5</v>
      </c>
      <c r="J240" s="101">
        <f t="shared" si="111"/>
        <v>4712</v>
      </c>
      <c r="K240" s="101">
        <f t="shared" si="111"/>
        <v>0</v>
      </c>
      <c r="L240" s="101">
        <f t="shared" si="111"/>
        <v>9160.5</v>
      </c>
      <c r="M240" s="101">
        <f t="shared" si="111"/>
        <v>145839.5</v>
      </c>
      <c r="N240" s="101">
        <f t="shared" si="111"/>
        <v>25042.812291666665</v>
      </c>
      <c r="O240" s="101">
        <f t="shared" si="111"/>
        <v>0</v>
      </c>
      <c r="P240" s="101">
        <f t="shared" si="111"/>
        <v>225</v>
      </c>
      <c r="Q240" s="101">
        <f t="shared" si="111"/>
        <v>34428.312291666662</v>
      </c>
      <c r="R240" s="101">
        <f t="shared" si="111"/>
        <v>120571.68770833334</v>
      </c>
      <c r="S240" s="115"/>
    </row>
    <row r="241" spans="1:19" s="111" customFormat="1" ht="39.950000000000003" customHeight="1" thickBot="1" x14ac:dyDescent="0.25">
      <c r="A241" s="168"/>
      <c r="B241" s="168"/>
      <c r="C241" s="168"/>
      <c r="D241" s="168"/>
      <c r="E241" s="168"/>
      <c r="F241" s="173"/>
      <c r="G241" s="173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115"/>
    </row>
    <row r="242" spans="1:19" s="111" customFormat="1" ht="39.950000000000003" customHeight="1" thickBot="1" x14ac:dyDescent="0.25">
      <c r="A242" s="197" t="s">
        <v>558</v>
      </c>
      <c r="B242" s="196"/>
      <c r="C242" s="196"/>
      <c r="D242" s="196"/>
      <c r="E242" s="196"/>
      <c r="F242" s="339"/>
      <c r="G242" s="339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15"/>
    </row>
    <row r="243" spans="1:19" s="111" customFormat="1" ht="39.950000000000003" customHeight="1" x14ac:dyDescent="0.2">
      <c r="A243" s="152">
        <f>+A239+1</f>
        <v>106</v>
      </c>
      <c r="B243" s="157" t="s">
        <v>559</v>
      </c>
      <c r="C243" s="130" t="s">
        <v>335</v>
      </c>
      <c r="D243" s="142" t="s">
        <v>560</v>
      </c>
      <c r="E243" s="153" t="s">
        <v>179</v>
      </c>
      <c r="F243" s="174" t="s">
        <v>610</v>
      </c>
      <c r="G243" s="174" t="s">
        <v>640</v>
      </c>
      <c r="H243" s="105">
        <v>100000</v>
      </c>
      <c r="I243" s="116">
        <f>H243*2.87%</f>
        <v>2870</v>
      </c>
      <c r="J243" s="116">
        <f>+H243*3.04%</f>
        <v>3040</v>
      </c>
      <c r="K243" s="116"/>
      <c r="L243" s="116">
        <f>+J243+I243+K243</f>
        <v>5910</v>
      </c>
      <c r="M243" s="116">
        <f>+H243-L243</f>
        <v>94090</v>
      </c>
      <c r="N243" s="116">
        <v>12105.44</v>
      </c>
      <c r="O243" s="116">
        <v>0</v>
      </c>
      <c r="P243" s="116">
        <v>4725</v>
      </c>
      <c r="Q243" s="116">
        <f>+P243+N243+L243</f>
        <v>22740.440000000002</v>
      </c>
      <c r="R243" s="159">
        <f>+H243-Q243</f>
        <v>77259.56</v>
      </c>
      <c r="S243" s="115"/>
    </row>
    <row r="244" spans="1:19" s="111" customFormat="1" ht="39.950000000000003" customHeight="1" thickBot="1" x14ac:dyDescent="0.25">
      <c r="A244" s="385" t="s">
        <v>99</v>
      </c>
      <c r="B244" s="386"/>
      <c r="C244" s="100"/>
      <c r="D244" s="100"/>
      <c r="E244" s="100"/>
      <c r="F244" s="325"/>
      <c r="G244" s="325"/>
      <c r="H244" s="101">
        <f>SUM(H243:H243)</f>
        <v>100000</v>
      </c>
      <c r="I244" s="101">
        <f t="shared" ref="I244:R244" si="112">SUM(I243:I243)</f>
        <v>2870</v>
      </c>
      <c r="J244" s="101">
        <f t="shared" si="112"/>
        <v>3040</v>
      </c>
      <c r="K244" s="101">
        <f t="shared" si="112"/>
        <v>0</v>
      </c>
      <c r="L244" s="101">
        <f t="shared" si="112"/>
        <v>5910</v>
      </c>
      <c r="M244" s="101">
        <f t="shared" si="112"/>
        <v>94090</v>
      </c>
      <c r="N244" s="101">
        <f t="shared" si="112"/>
        <v>12105.44</v>
      </c>
      <c r="O244" s="101">
        <f t="shared" si="112"/>
        <v>0</v>
      </c>
      <c r="P244" s="101">
        <f t="shared" si="112"/>
        <v>4725</v>
      </c>
      <c r="Q244" s="101">
        <f t="shared" si="112"/>
        <v>22740.440000000002</v>
      </c>
      <c r="R244" s="101">
        <f t="shared" si="112"/>
        <v>77259.56</v>
      </c>
      <c r="S244" s="115"/>
    </row>
    <row r="245" spans="1:19" s="111" customFormat="1" ht="39.950000000000003" customHeight="1" thickBot="1" x14ac:dyDescent="0.25">
      <c r="A245" s="171" t="s">
        <v>352</v>
      </c>
      <c r="B245" s="172"/>
      <c r="C245" s="172"/>
      <c r="D245" s="172"/>
      <c r="E245" s="172"/>
      <c r="F245" s="185"/>
      <c r="G245" s="329"/>
      <c r="H245" s="172"/>
      <c r="I245" s="172"/>
      <c r="J245" s="172"/>
      <c r="K245" s="172"/>
      <c r="L245" s="172"/>
      <c r="M245" s="172"/>
      <c r="N245" s="172"/>
      <c r="O245" s="172"/>
      <c r="P245" s="172"/>
      <c r="Q245" s="172"/>
      <c r="R245" s="172"/>
      <c r="S245" s="115"/>
    </row>
    <row r="246" spans="1:19" s="111" customFormat="1" ht="39.950000000000003" customHeight="1" x14ac:dyDescent="0.2">
      <c r="A246" s="156">
        <f>+A243+1</f>
        <v>107</v>
      </c>
      <c r="B246" s="157" t="s">
        <v>460</v>
      </c>
      <c r="C246" s="130" t="s">
        <v>335</v>
      </c>
      <c r="D246" s="142" t="s">
        <v>495</v>
      </c>
      <c r="E246" s="153" t="s">
        <v>179</v>
      </c>
      <c r="F246" s="174" t="s">
        <v>631</v>
      </c>
      <c r="G246" s="174" t="s">
        <v>663</v>
      </c>
      <c r="H246" s="97">
        <v>145000</v>
      </c>
      <c r="I246" s="118">
        <f>H246*2.87%</f>
        <v>4161.5</v>
      </c>
      <c r="J246" s="118">
        <f>+H246*3.04%</f>
        <v>4408</v>
      </c>
      <c r="K246" s="118"/>
      <c r="L246" s="116">
        <f>+J246+I246+K246</f>
        <v>8569.5</v>
      </c>
      <c r="M246" s="116">
        <f>+H246-L246</f>
        <v>136430.5</v>
      </c>
      <c r="N246" s="116">
        <f t="shared" ref="N246" si="113">+IF(M246*12&lt;=416220.01,0,IF(M246*12&lt;=624329.01,(((M246*12-416220.01)*0.15)/12),IF((M246*12&lt;=867123.01),(31216+0.2*(M246*12-624329.01))/12,((79776+0.25*(M246*12-867123.01))/12))))</f>
        <v>22690.562291666665</v>
      </c>
      <c r="O246" s="116"/>
      <c r="P246" s="155">
        <v>25</v>
      </c>
      <c r="Q246" s="116">
        <f>+P246+N246+L246</f>
        <v>31285.062291666665</v>
      </c>
      <c r="R246" s="155">
        <f>+H246-Q246</f>
        <v>113714.93770833334</v>
      </c>
      <c r="S246" s="115"/>
    </row>
    <row r="247" spans="1:19" s="115" customFormat="1" ht="39.950000000000003" customHeight="1" x14ac:dyDescent="0.2">
      <c r="A247" s="156">
        <f>+A246+1</f>
        <v>108</v>
      </c>
      <c r="B247" s="157" t="s">
        <v>619</v>
      </c>
      <c r="C247" s="130" t="s">
        <v>335</v>
      </c>
      <c r="D247" s="142" t="s">
        <v>621</v>
      </c>
      <c r="E247" s="153" t="s">
        <v>179</v>
      </c>
      <c r="F247" s="174" t="s">
        <v>657</v>
      </c>
      <c r="G247" s="174" t="s">
        <v>652</v>
      </c>
      <c r="H247" s="97">
        <v>50000</v>
      </c>
      <c r="I247" s="118">
        <f>H247*2.87%</f>
        <v>1435</v>
      </c>
      <c r="J247" s="118">
        <f>+H247*3.04%</f>
        <v>1520</v>
      </c>
      <c r="K247" s="118"/>
      <c r="L247" s="116">
        <f>+J247+I247+K247</f>
        <v>2955</v>
      </c>
      <c r="M247" s="116">
        <f>+H247-L247</f>
        <v>47045</v>
      </c>
      <c r="N247" s="116">
        <v>0</v>
      </c>
      <c r="O247" s="116"/>
      <c r="P247" s="155">
        <v>5090.29</v>
      </c>
      <c r="Q247" s="116">
        <f>+P247+N247+L247</f>
        <v>8045.29</v>
      </c>
      <c r="R247" s="155">
        <f>+H247-Q247</f>
        <v>41954.71</v>
      </c>
    </row>
    <row r="248" spans="1:19" s="99" customFormat="1" ht="39.950000000000003" customHeight="1" thickBot="1" x14ac:dyDescent="0.25">
      <c r="A248" s="385" t="s">
        <v>99</v>
      </c>
      <c r="B248" s="386"/>
      <c r="C248" s="100"/>
      <c r="D248" s="100"/>
      <c r="E248" s="100"/>
      <c r="F248" s="325"/>
      <c r="G248" s="325"/>
      <c r="H248" s="101">
        <f t="shared" ref="H248:R248" si="114">SUM(H246:H247)</f>
        <v>195000</v>
      </c>
      <c r="I248" s="101">
        <f t="shared" si="114"/>
        <v>5596.5</v>
      </c>
      <c r="J248" s="101">
        <f t="shared" si="114"/>
        <v>5928</v>
      </c>
      <c r="K248" s="101">
        <f t="shared" si="114"/>
        <v>0</v>
      </c>
      <c r="L248" s="101">
        <f t="shared" si="114"/>
        <v>11524.5</v>
      </c>
      <c r="M248" s="101">
        <f t="shared" si="114"/>
        <v>183475.5</v>
      </c>
      <c r="N248" s="101">
        <f t="shared" si="114"/>
        <v>22690.562291666665</v>
      </c>
      <c r="O248" s="101">
        <f t="shared" si="114"/>
        <v>0</v>
      </c>
      <c r="P248" s="101">
        <f t="shared" si="114"/>
        <v>5115.29</v>
      </c>
      <c r="Q248" s="101">
        <f t="shared" si="114"/>
        <v>39330.352291666662</v>
      </c>
      <c r="R248" s="101">
        <f t="shared" si="114"/>
        <v>155669.64770833333</v>
      </c>
    </row>
    <row r="249" spans="1:19" ht="39.950000000000003" customHeight="1" thickBot="1" x14ac:dyDescent="0.25">
      <c r="A249" s="197" t="s">
        <v>529</v>
      </c>
      <c r="B249" s="196"/>
      <c r="C249" s="196"/>
      <c r="D249" s="196"/>
      <c r="E249" s="196"/>
      <c r="F249" s="339"/>
      <c r="G249" s="339"/>
      <c r="H249" s="196"/>
      <c r="I249" s="196"/>
      <c r="J249" s="196"/>
      <c r="K249" s="196"/>
      <c r="L249" s="196"/>
      <c r="M249" s="196"/>
      <c r="N249" s="196"/>
      <c r="O249" s="196"/>
      <c r="P249" s="196"/>
      <c r="Q249" s="196"/>
      <c r="R249" s="196"/>
    </row>
    <row r="250" spans="1:19" ht="39.950000000000003" customHeight="1" x14ac:dyDescent="0.2">
      <c r="A250" s="152">
        <f>+A247+1</f>
        <v>109</v>
      </c>
      <c r="B250" s="157" t="s">
        <v>302</v>
      </c>
      <c r="C250" s="130" t="s">
        <v>336</v>
      </c>
      <c r="D250" s="142" t="s">
        <v>602</v>
      </c>
      <c r="E250" s="153" t="s">
        <v>179</v>
      </c>
      <c r="F250" s="322" t="s">
        <v>588</v>
      </c>
      <c r="G250" s="322" t="s">
        <v>623</v>
      </c>
      <c r="H250" s="105">
        <v>145000</v>
      </c>
      <c r="I250" s="116">
        <f>H250*2.87%</f>
        <v>4161.5</v>
      </c>
      <c r="J250" s="116">
        <f>+H250*3.04%</f>
        <v>4408</v>
      </c>
      <c r="K250" s="116"/>
      <c r="L250" s="116">
        <f>+J250+I250+K250</f>
        <v>8569.5</v>
      </c>
      <c r="M250" s="116">
        <f>+H250-L250</f>
        <v>136430.5</v>
      </c>
      <c r="N250" s="116">
        <f t="shared" ref="N250" si="115">+IF(M250*12&lt;=416220.01,0,IF(M250*12&lt;=624329.01,(((M250*12-416220.01)*0.15)/12),IF((M250*12&lt;=867123.01),(31216+0.2*(M250*12-624329.01))/12,((79776+0.25*(M250*12-867123.01))/12))))</f>
        <v>22690.562291666665</v>
      </c>
      <c r="O250" s="116"/>
      <c r="P250" s="159">
        <v>10290.290000000001</v>
      </c>
      <c r="Q250" s="116">
        <f>+P250+N250+L250</f>
        <v>41550.35229166667</v>
      </c>
      <c r="R250" s="159">
        <f>+H250-Q250</f>
        <v>103449.64770833333</v>
      </c>
    </row>
    <row r="251" spans="1:19" ht="39.950000000000003" customHeight="1" x14ac:dyDescent="0.2">
      <c r="A251" s="385" t="s">
        <v>99</v>
      </c>
      <c r="B251" s="386"/>
      <c r="C251" s="100"/>
      <c r="D251" s="100"/>
      <c r="E251" s="100"/>
      <c r="F251" s="325"/>
      <c r="G251" s="325"/>
      <c r="H251" s="101">
        <f t="shared" ref="H251:R251" si="116">SUM(H250:H250)</f>
        <v>145000</v>
      </c>
      <c r="I251" s="101">
        <f t="shared" si="116"/>
        <v>4161.5</v>
      </c>
      <c r="J251" s="101">
        <f t="shared" si="116"/>
        <v>4408</v>
      </c>
      <c r="K251" s="101">
        <f t="shared" si="116"/>
        <v>0</v>
      </c>
      <c r="L251" s="101">
        <f t="shared" si="116"/>
        <v>8569.5</v>
      </c>
      <c r="M251" s="101">
        <f t="shared" si="116"/>
        <v>136430.5</v>
      </c>
      <c r="N251" s="101">
        <f t="shared" si="116"/>
        <v>22690.562291666665</v>
      </c>
      <c r="O251" s="101">
        <f t="shared" si="116"/>
        <v>0</v>
      </c>
      <c r="P251" s="101">
        <f t="shared" si="116"/>
        <v>10290.290000000001</v>
      </c>
      <c r="Q251" s="101">
        <f t="shared" si="116"/>
        <v>41550.35229166667</v>
      </c>
      <c r="R251" s="101">
        <f t="shared" si="116"/>
        <v>103449.64770833333</v>
      </c>
    </row>
    <row r="252" spans="1:19" ht="39.950000000000003" customHeight="1" thickBot="1" x14ac:dyDescent="0.25">
      <c r="A252" s="168"/>
      <c r="B252" s="168"/>
      <c r="C252" s="168"/>
      <c r="D252" s="168"/>
      <c r="E252" s="168"/>
      <c r="F252" s="173"/>
      <c r="G252" s="173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</row>
    <row r="253" spans="1:19" ht="39.950000000000003" customHeight="1" thickBot="1" x14ac:dyDescent="0.25">
      <c r="A253" s="284" t="s">
        <v>189</v>
      </c>
      <c r="B253" s="185"/>
      <c r="C253" s="185"/>
      <c r="D253" s="185"/>
      <c r="E253" s="185"/>
      <c r="F253" s="185"/>
      <c r="G253" s="185"/>
      <c r="H253" s="185"/>
      <c r="I253" s="185"/>
      <c r="J253" s="185"/>
      <c r="K253" s="172"/>
      <c r="L253" s="172"/>
      <c r="M253" s="172"/>
      <c r="N253" s="172"/>
      <c r="O253" s="172"/>
      <c r="P253" s="172"/>
      <c r="Q253" s="172"/>
      <c r="R253" s="172"/>
    </row>
    <row r="254" spans="1:19" s="115" customFormat="1" ht="39.950000000000003" customHeight="1" x14ac:dyDescent="0.2">
      <c r="A254" s="156">
        <f>+A250+1</f>
        <v>110</v>
      </c>
      <c r="B254" s="177" t="s">
        <v>538</v>
      </c>
      <c r="C254" s="132" t="s">
        <v>336</v>
      </c>
      <c r="D254" s="139" t="s">
        <v>539</v>
      </c>
      <c r="E254" s="174" t="s">
        <v>179</v>
      </c>
      <c r="F254" s="174" t="s">
        <v>609</v>
      </c>
      <c r="G254" s="174" t="s">
        <v>650</v>
      </c>
      <c r="H254" s="97">
        <v>50000</v>
      </c>
      <c r="I254" s="118">
        <f>H254*2.87%</f>
        <v>1435</v>
      </c>
      <c r="J254" s="118">
        <f>+H254*3.04%</f>
        <v>1520</v>
      </c>
      <c r="K254" s="116">
        <v>0</v>
      </c>
      <c r="L254" s="116">
        <f>+J254+I254+K254</f>
        <v>2955</v>
      </c>
      <c r="M254" s="116">
        <f>+H254-L254</f>
        <v>47045</v>
      </c>
      <c r="N254" s="116">
        <v>0</v>
      </c>
      <c r="O254" s="116"/>
      <c r="P254" s="155">
        <v>225</v>
      </c>
      <c r="Q254" s="116">
        <f>+P254+N254+L254</f>
        <v>3180</v>
      </c>
      <c r="R254" s="155">
        <f>+H254-Q254</f>
        <v>46820</v>
      </c>
    </row>
    <row r="255" spans="1:19" s="115" customFormat="1" ht="39.950000000000003" customHeight="1" x14ac:dyDescent="0.2">
      <c r="A255" s="152">
        <f>+A254+1</f>
        <v>111</v>
      </c>
      <c r="B255" s="157" t="s">
        <v>321</v>
      </c>
      <c r="C255" s="130" t="s">
        <v>336</v>
      </c>
      <c r="D255" s="157" t="s">
        <v>534</v>
      </c>
      <c r="E255" s="153" t="s">
        <v>179</v>
      </c>
      <c r="F255" s="174" t="s">
        <v>620</v>
      </c>
      <c r="G255" s="174" t="s">
        <v>652</v>
      </c>
      <c r="H255" s="116">
        <v>60000</v>
      </c>
      <c r="I255" s="116">
        <f t="shared" ref="I255" si="117">H255*2.87%</f>
        <v>1722</v>
      </c>
      <c r="J255" s="118">
        <f t="shared" ref="J255" si="118">+H255*3.04%</f>
        <v>1824</v>
      </c>
      <c r="K255" s="118">
        <v>1919.78</v>
      </c>
      <c r="L255" s="116">
        <f>+J255+I255+K255</f>
        <v>5465.78</v>
      </c>
      <c r="M255" s="116">
        <f>+H255-L255</f>
        <v>54534.22</v>
      </c>
      <c r="N255" s="116">
        <v>347.79</v>
      </c>
      <c r="O255" s="116">
        <v>0</v>
      </c>
      <c r="P255" s="155">
        <v>2790.29</v>
      </c>
      <c r="Q255" s="116">
        <f>+P255+N255+L255</f>
        <v>8603.86</v>
      </c>
      <c r="R255" s="155">
        <f>+H255-Q255</f>
        <v>51396.14</v>
      </c>
    </row>
    <row r="256" spans="1:19" ht="39.950000000000003" customHeight="1" x14ac:dyDescent="0.2">
      <c r="A256" s="385" t="s">
        <v>99</v>
      </c>
      <c r="B256" s="386"/>
      <c r="C256" s="100"/>
      <c r="D256" s="100"/>
      <c r="E256" s="100"/>
      <c r="F256" s="325"/>
      <c r="G256" s="325"/>
      <c r="H256" s="101">
        <f>+SUM(H254:H255)</f>
        <v>110000</v>
      </c>
      <c r="I256" s="101">
        <f t="shared" ref="I256:R256" si="119">+SUM(I254:I255)</f>
        <v>3157</v>
      </c>
      <c r="J256" s="101">
        <f t="shared" si="119"/>
        <v>3344</v>
      </c>
      <c r="K256" s="101">
        <f t="shared" si="119"/>
        <v>1919.78</v>
      </c>
      <c r="L256" s="101">
        <f t="shared" si="119"/>
        <v>8420.7799999999988</v>
      </c>
      <c r="M256" s="101">
        <f t="shared" si="119"/>
        <v>101579.22</v>
      </c>
      <c r="N256" s="101">
        <f t="shared" si="119"/>
        <v>347.79</v>
      </c>
      <c r="O256" s="101">
        <f t="shared" si="119"/>
        <v>0</v>
      </c>
      <c r="P256" s="101">
        <f t="shared" si="119"/>
        <v>3015.29</v>
      </c>
      <c r="Q256" s="101">
        <f t="shared" si="119"/>
        <v>11783.86</v>
      </c>
      <c r="R256" s="101">
        <f t="shared" si="119"/>
        <v>98216.14</v>
      </c>
    </row>
    <row r="257" spans="1:18" ht="39.950000000000003" customHeight="1" thickBot="1" x14ac:dyDescent="0.25">
      <c r="A257" s="168"/>
      <c r="B257" s="168"/>
      <c r="C257" s="183"/>
      <c r="D257" s="183"/>
      <c r="E257" s="183"/>
      <c r="F257" s="333"/>
      <c r="G257" s="333"/>
      <c r="H257" s="169"/>
      <c r="I257" s="169"/>
      <c r="J257" s="169"/>
      <c r="K257" s="169"/>
      <c r="L257" s="169"/>
      <c r="M257" s="169"/>
      <c r="N257" s="169"/>
      <c r="O257" s="169"/>
      <c r="P257" s="169"/>
      <c r="Q257" s="169"/>
      <c r="R257" s="169"/>
    </row>
    <row r="258" spans="1:18" ht="39.950000000000003" customHeight="1" thickBot="1" x14ac:dyDescent="0.25">
      <c r="A258" s="171" t="s">
        <v>540</v>
      </c>
      <c r="B258" s="172"/>
      <c r="C258" s="172"/>
      <c r="D258" s="172"/>
      <c r="E258" s="172"/>
      <c r="F258" s="185"/>
      <c r="G258" s="185"/>
      <c r="H258" s="172"/>
      <c r="I258" s="172"/>
      <c r="J258" s="172"/>
      <c r="K258" s="172"/>
      <c r="L258" s="172"/>
      <c r="M258" s="172"/>
      <c r="N258" s="172"/>
      <c r="O258" s="172"/>
      <c r="P258" s="172"/>
      <c r="Q258" s="172"/>
      <c r="R258" s="172"/>
    </row>
    <row r="259" spans="1:18" ht="39.950000000000003" customHeight="1" x14ac:dyDescent="0.2">
      <c r="A259" s="156">
        <f>+A255+1</f>
        <v>112</v>
      </c>
      <c r="B259" s="102" t="s">
        <v>541</v>
      </c>
      <c r="C259" s="131" t="s">
        <v>335</v>
      </c>
      <c r="D259" s="102" t="s">
        <v>542</v>
      </c>
      <c r="E259" s="174" t="s">
        <v>179</v>
      </c>
      <c r="F259" s="174" t="s">
        <v>609</v>
      </c>
      <c r="G259" s="174" t="s">
        <v>650</v>
      </c>
      <c r="H259" s="118">
        <v>145000</v>
      </c>
      <c r="I259" s="118">
        <f>H259*2.87%</f>
        <v>4161.5</v>
      </c>
      <c r="J259" s="118">
        <f>+H259*3.04%</f>
        <v>4408</v>
      </c>
      <c r="K259" s="118">
        <v>0</v>
      </c>
      <c r="L259" s="118">
        <f>+J259+I259+K259</f>
        <v>8569.5</v>
      </c>
      <c r="M259" s="116">
        <f>+H259-L259</f>
        <v>136430.5</v>
      </c>
      <c r="N259" s="116">
        <f>+IF(M259*12&lt;=416220.01,0,IF(M259*12&lt;=624329.01,(((M259*12-416220.01)*0.15)/12),IF((M259*12&lt;=867123.01),(31216+0.2*(M259*12-624329.01))/12,((79776+0.25*(M259*12-867123.01))/12))))</f>
        <v>22690.562291666665</v>
      </c>
      <c r="O259" s="116"/>
      <c r="P259" s="155">
        <v>25</v>
      </c>
      <c r="Q259" s="116">
        <f>+P259+N259+L259</f>
        <v>31285.062291666665</v>
      </c>
      <c r="R259" s="155">
        <f>+H259-Q259</f>
        <v>113714.93770833334</v>
      </c>
    </row>
    <row r="260" spans="1:18" s="115" customFormat="1" ht="39.950000000000003" customHeight="1" x14ac:dyDescent="0.2">
      <c r="A260" s="385" t="s">
        <v>99</v>
      </c>
      <c r="B260" s="386"/>
      <c r="C260" s="100"/>
      <c r="D260" s="100"/>
      <c r="E260" s="100"/>
      <c r="F260" s="325"/>
      <c r="G260" s="325"/>
      <c r="H260" s="101">
        <f t="shared" ref="H260:J260" si="120">SUM(H259:H259)</f>
        <v>145000</v>
      </c>
      <c r="I260" s="101">
        <f t="shared" si="120"/>
        <v>4161.5</v>
      </c>
      <c r="J260" s="101">
        <f t="shared" si="120"/>
        <v>4408</v>
      </c>
      <c r="K260" s="101">
        <f>SUM(K259:K259)</f>
        <v>0</v>
      </c>
      <c r="L260" s="101">
        <f t="shared" ref="L260:R260" si="121">SUM(L259:L259)</f>
        <v>8569.5</v>
      </c>
      <c r="M260" s="101">
        <f t="shared" si="121"/>
        <v>136430.5</v>
      </c>
      <c r="N260" s="101">
        <f t="shared" si="121"/>
        <v>22690.562291666665</v>
      </c>
      <c r="O260" s="101">
        <f t="shared" si="121"/>
        <v>0</v>
      </c>
      <c r="P260" s="101">
        <f t="shared" si="121"/>
        <v>25</v>
      </c>
      <c r="Q260" s="101">
        <f t="shared" si="121"/>
        <v>31285.062291666665</v>
      </c>
      <c r="R260" s="101">
        <f t="shared" si="121"/>
        <v>113714.93770833334</v>
      </c>
    </row>
    <row r="261" spans="1:18" ht="39.950000000000003" customHeight="1" thickBot="1" x14ac:dyDescent="0.25">
      <c r="A261" s="168"/>
      <c r="B261" s="168"/>
      <c r="C261" s="168"/>
      <c r="D261" s="168"/>
      <c r="E261" s="168"/>
      <c r="F261" s="173"/>
      <c r="G261" s="173"/>
      <c r="H261" s="114"/>
      <c r="I261" s="114"/>
      <c r="J261" s="114"/>
      <c r="K261" s="114"/>
      <c r="L261" s="114"/>
      <c r="M261" s="114"/>
      <c r="N261" s="114"/>
      <c r="O261" s="114"/>
      <c r="P261" s="114"/>
      <c r="Q261" s="114"/>
      <c r="R261" s="114"/>
    </row>
    <row r="262" spans="1:18" ht="39.950000000000003" customHeight="1" thickBot="1" x14ac:dyDescent="0.25">
      <c r="A262" s="171" t="s">
        <v>353</v>
      </c>
      <c r="B262" s="172"/>
      <c r="C262" s="172"/>
      <c r="D262" s="172"/>
      <c r="E262" s="172"/>
      <c r="F262" s="185"/>
      <c r="G262" s="185"/>
      <c r="H262" s="172"/>
      <c r="I262" s="172"/>
      <c r="J262" s="172"/>
      <c r="K262" s="172"/>
      <c r="L262" s="172"/>
      <c r="M262" s="172"/>
      <c r="N262" s="172"/>
      <c r="O262" s="172"/>
      <c r="P262" s="172"/>
      <c r="Q262" s="172"/>
      <c r="R262" s="172"/>
    </row>
    <row r="263" spans="1:18" ht="39.950000000000003" customHeight="1" x14ac:dyDescent="0.2">
      <c r="A263" s="156">
        <f>+A259+1</f>
        <v>113</v>
      </c>
      <c r="B263" s="102" t="s">
        <v>117</v>
      </c>
      <c r="C263" s="131" t="s">
        <v>336</v>
      </c>
      <c r="D263" s="102" t="s">
        <v>323</v>
      </c>
      <c r="E263" s="174" t="s">
        <v>179</v>
      </c>
      <c r="F263" s="174" t="s">
        <v>631</v>
      </c>
      <c r="G263" s="174" t="s">
        <v>663</v>
      </c>
      <c r="H263" s="118">
        <v>70000</v>
      </c>
      <c r="I263" s="118">
        <f>H263*2.87%</f>
        <v>2009</v>
      </c>
      <c r="J263" s="118">
        <f>+H263*3.04%</f>
        <v>2128</v>
      </c>
      <c r="K263" s="118">
        <v>0</v>
      </c>
      <c r="L263" s="118">
        <f>+J263+I263+K263</f>
        <v>4137</v>
      </c>
      <c r="M263" s="116">
        <f>+H263-L263</f>
        <v>65863</v>
      </c>
      <c r="N263" s="116">
        <f>+IF(M263*12&lt;=416220.01,0,IF(M263*12&lt;=624329.01,(((M263*12-416220.01)*0.15)/12),IF((M263*12&lt;=867123.01),(31216+0.2*(M263*12-624329.01))/12,((79776+0.25*(M263*12-867123.01))/12))))</f>
        <v>5368.4498333333331</v>
      </c>
      <c r="O263" s="116"/>
      <c r="P263" s="155">
        <v>225</v>
      </c>
      <c r="Q263" s="116">
        <f>+P263+N263+L263</f>
        <v>9730.4498333333322</v>
      </c>
      <c r="R263" s="155">
        <f>+H263-Q263</f>
        <v>60269.550166666668</v>
      </c>
    </row>
    <row r="264" spans="1:18" ht="39.950000000000003" customHeight="1" x14ac:dyDescent="0.2">
      <c r="A264" s="385" t="s">
        <v>99</v>
      </c>
      <c r="B264" s="386"/>
      <c r="C264" s="100"/>
      <c r="D264" s="100"/>
      <c r="E264" s="100"/>
      <c r="F264" s="325"/>
      <c r="G264" s="325"/>
      <c r="H264" s="101">
        <f t="shared" ref="H264:R264" si="122">SUM(H263:H263)</f>
        <v>70000</v>
      </c>
      <c r="I264" s="101">
        <f t="shared" si="122"/>
        <v>2009</v>
      </c>
      <c r="J264" s="101">
        <f t="shared" si="122"/>
        <v>2128</v>
      </c>
      <c r="K264" s="101">
        <f>SUM(K263:K263)</f>
        <v>0</v>
      </c>
      <c r="L264" s="101">
        <f t="shared" si="122"/>
        <v>4137</v>
      </c>
      <c r="M264" s="101">
        <f t="shared" si="122"/>
        <v>65863</v>
      </c>
      <c r="N264" s="101">
        <f t="shared" si="122"/>
        <v>5368.4498333333331</v>
      </c>
      <c r="O264" s="101">
        <f t="shared" si="122"/>
        <v>0</v>
      </c>
      <c r="P264" s="101">
        <f t="shared" si="122"/>
        <v>225</v>
      </c>
      <c r="Q264" s="101">
        <f t="shared" si="122"/>
        <v>9730.4498333333322</v>
      </c>
      <c r="R264" s="101">
        <f t="shared" si="122"/>
        <v>60269.550166666668</v>
      </c>
    </row>
    <row r="265" spans="1:18" ht="39.950000000000003" customHeight="1" thickBot="1" x14ac:dyDescent="0.25">
      <c r="A265" s="168"/>
      <c r="B265" s="168"/>
      <c r="C265" s="168"/>
      <c r="D265" s="168"/>
      <c r="E265" s="168"/>
      <c r="F265" s="173"/>
      <c r="G265" s="173"/>
      <c r="H265" s="114"/>
      <c r="I265" s="114"/>
      <c r="J265" s="114"/>
      <c r="K265" s="114"/>
      <c r="L265" s="114"/>
      <c r="M265" s="114"/>
      <c r="N265" s="114"/>
      <c r="O265" s="114"/>
      <c r="P265" s="114"/>
      <c r="Q265" s="114"/>
      <c r="R265" s="114"/>
    </row>
    <row r="266" spans="1:18" ht="39.950000000000003" customHeight="1" thickBot="1" x14ac:dyDescent="0.25">
      <c r="A266" s="171" t="s">
        <v>461</v>
      </c>
      <c r="B266" s="172"/>
      <c r="C266" s="172"/>
      <c r="D266" s="172"/>
      <c r="E266" s="172"/>
      <c r="F266" s="185"/>
      <c r="G266" s="185"/>
      <c r="H266" s="172"/>
      <c r="I266" s="172"/>
      <c r="J266" s="172"/>
      <c r="K266" s="172"/>
      <c r="L266" s="172"/>
      <c r="M266" s="172"/>
      <c r="N266" s="172"/>
      <c r="O266" s="172"/>
      <c r="P266" s="172"/>
      <c r="Q266" s="172"/>
      <c r="R266" s="172"/>
    </row>
    <row r="267" spans="1:18" ht="39.950000000000003" customHeight="1" x14ac:dyDescent="0.2">
      <c r="A267" s="156">
        <f>+A263+1</f>
        <v>114</v>
      </c>
      <c r="B267" s="102" t="s">
        <v>398</v>
      </c>
      <c r="C267" s="131" t="s">
        <v>336</v>
      </c>
      <c r="D267" s="102" t="s">
        <v>482</v>
      </c>
      <c r="E267" s="174" t="s">
        <v>179</v>
      </c>
      <c r="F267" s="102" t="s">
        <v>620</v>
      </c>
      <c r="G267" s="102" t="s">
        <v>652</v>
      </c>
      <c r="H267" s="118">
        <v>90000</v>
      </c>
      <c r="I267" s="118">
        <f>H267*2.87%</f>
        <v>2583</v>
      </c>
      <c r="J267" s="118">
        <f>+H267*3.04%</f>
        <v>2736</v>
      </c>
      <c r="K267" s="118"/>
      <c r="L267" s="116">
        <f>+J267+I267+K267</f>
        <v>5319</v>
      </c>
      <c r="M267" s="116">
        <f>+H267-L267</f>
        <v>84681</v>
      </c>
      <c r="N267" s="116">
        <f>+IF(M267*12&lt;=416220.01,0,IF(M267*12&lt;=624329.01,(((M267*12-416220.01)*0.15)/12),IF((M267*12&lt;=867123.01),(31216+0.2*(M267*12-624329.01))/12,((79776+0.25*(M267*12-867123.01))/12))))</f>
        <v>9753.1872916666671</v>
      </c>
      <c r="O267" s="116"/>
      <c r="P267" s="159">
        <v>15290.29</v>
      </c>
      <c r="Q267" s="116">
        <f>+P267+N267+L267</f>
        <v>30362.47729166667</v>
      </c>
      <c r="R267" s="155">
        <f>+H267-Q267</f>
        <v>59637.52270833333</v>
      </c>
    </row>
    <row r="268" spans="1:18" ht="39.950000000000003" customHeight="1" x14ac:dyDescent="0.2">
      <c r="A268" s="156">
        <f>+A267+1</f>
        <v>115</v>
      </c>
      <c r="B268" s="102" t="s">
        <v>486</v>
      </c>
      <c r="C268" s="131" t="s">
        <v>336</v>
      </c>
      <c r="D268" s="102" t="s">
        <v>487</v>
      </c>
      <c r="E268" s="174" t="s">
        <v>179</v>
      </c>
      <c r="F268" s="174" t="s">
        <v>610</v>
      </c>
      <c r="G268" s="174" t="s">
        <v>640</v>
      </c>
      <c r="H268" s="118">
        <v>38000</v>
      </c>
      <c r="I268" s="116">
        <f>H268*2.87%</f>
        <v>1090.5999999999999</v>
      </c>
      <c r="J268" s="116">
        <f>+H268*3.04%</f>
        <v>1155.2</v>
      </c>
      <c r="K268" s="116"/>
      <c r="L268" s="116">
        <f>+J268+I268+K268</f>
        <v>2245.8000000000002</v>
      </c>
      <c r="M268" s="116">
        <f>+H268-L268</f>
        <v>35754.199999999997</v>
      </c>
      <c r="N268" s="116">
        <v>0</v>
      </c>
      <c r="O268" s="116">
        <v>0</v>
      </c>
      <c r="P268" s="118">
        <v>225</v>
      </c>
      <c r="Q268" s="116">
        <f>+P268+N268+L268</f>
        <v>2470.8000000000002</v>
      </c>
      <c r="R268" s="159">
        <f>+H268-Q268</f>
        <v>35529.199999999997</v>
      </c>
    </row>
    <row r="269" spans="1:18" ht="39.950000000000003" customHeight="1" x14ac:dyDescent="0.2">
      <c r="A269" s="385" t="s">
        <v>99</v>
      </c>
      <c r="B269" s="386"/>
      <c r="C269" s="100"/>
      <c r="D269" s="100"/>
      <c r="E269" s="100"/>
      <c r="F269" s="325"/>
      <c r="G269" s="325"/>
      <c r="H269" s="101">
        <f>SUM(H267:H268)</f>
        <v>128000</v>
      </c>
      <c r="I269" s="101">
        <f t="shared" ref="I269:R269" si="123">SUM(I267:I268)</f>
        <v>3673.6</v>
      </c>
      <c r="J269" s="101">
        <f t="shared" si="123"/>
        <v>3891.2</v>
      </c>
      <c r="K269" s="101">
        <f t="shared" si="123"/>
        <v>0</v>
      </c>
      <c r="L269" s="101">
        <f t="shared" si="123"/>
        <v>7564.8</v>
      </c>
      <c r="M269" s="101">
        <f t="shared" si="123"/>
        <v>120435.2</v>
      </c>
      <c r="N269" s="101">
        <f t="shared" si="123"/>
        <v>9753.1872916666671</v>
      </c>
      <c r="O269" s="101">
        <f t="shared" si="123"/>
        <v>0</v>
      </c>
      <c r="P269" s="101">
        <f t="shared" si="123"/>
        <v>15515.29</v>
      </c>
      <c r="Q269" s="101">
        <f t="shared" si="123"/>
        <v>32833.277291666673</v>
      </c>
      <c r="R269" s="101">
        <f t="shared" si="123"/>
        <v>95166.722708333327</v>
      </c>
    </row>
    <row r="270" spans="1:18" ht="39.950000000000003" customHeight="1" thickBot="1" x14ac:dyDescent="0.25">
      <c r="A270" s="168"/>
      <c r="B270" s="168"/>
      <c r="C270" s="168"/>
      <c r="D270" s="168"/>
      <c r="E270" s="168"/>
      <c r="F270" s="173"/>
      <c r="G270" s="173"/>
      <c r="H270" s="114"/>
      <c r="I270" s="114"/>
      <c r="J270" s="114"/>
      <c r="K270" s="114"/>
      <c r="L270" s="114"/>
      <c r="M270" s="114"/>
      <c r="N270" s="114"/>
      <c r="O270" s="114"/>
      <c r="P270" s="114"/>
      <c r="Q270" s="114"/>
      <c r="R270" s="114"/>
    </row>
    <row r="271" spans="1:18" ht="39.950000000000003" customHeight="1" thickBot="1" x14ac:dyDescent="0.25">
      <c r="A271" s="171" t="s">
        <v>171</v>
      </c>
      <c r="B271" s="172"/>
      <c r="C271" s="172"/>
      <c r="D271" s="172"/>
      <c r="E271" s="172"/>
      <c r="F271" s="185"/>
      <c r="G271" s="185"/>
      <c r="H271" s="172"/>
      <c r="I271" s="172"/>
      <c r="J271" s="172"/>
      <c r="K271" s="172"/>
      <c r="L271" s="172"/>
      <c r="M271" s="172"/>
      <c r="N271" s="172"/>
      <c r="O271" s="172"/>
      <c r="P271" s="172"/>
      <c r="Q271" s="172"/>
      <c r="R271" s="172"/>
    </row>
    <row r="272" spans="1:18" ht="39.950000000000003" customHeight="1" x14ac:dyDescent="0.2">
      <c r="A272" s="156">
        <f>+A268+1</f>
        <v>116</v>
      </c>
      <c r="B272" s="141" t="s">
        <v>305</v>
      </c>
      <c r="C272" s="103" t="s">
        <v>335</v>
      </c>
      <c r="D272" s="139" t="s">
        <v>499</v>
      </c>
      <c r="E272" s="174" t="s">
        <v>179</v>
      </c>
      <c r="F272" s="174" t="s">
        <v>609</v>
      </c>
      <c r="G272" s="174" t="s">
        <v>650</v>
      </c>
      <c r="H272" s="155">
        <v>100000</v>
      </c>
      <c r="I272" s="118">
        <f>H272*2.87%</f>
        <v>2870</v>
      </c>
      <c r="J272" s="118">
        <f>+H272*3.04%</f>
        <v>3040</v>
      </c>
      <c r="K272" s="118"/>
      <c r="L272" s="118">
        <f>+J272+I272+K272</f>
        <v>5910</v>
      </c>
      <c r="M272" s="118">
        <f>+H272-L272</f>
        <v>94090</v>
      </c>
      <c r="N272" s="116">
        <f>+IF(M272*12&lt;=416220.01,0,IF(M272*12&lt;=624329.01,(((M272*12-416220.01)*0.15)/12),IF((M272*12&lt;=867123.01),(31216+0.2*(M272*12-624329.01))/12,((79776+0.25*(M272*12-867123.01))/12))))</f>
        <v>12105.437291666667</v>
      </c>
      <c r="O272" s="118"/>
      <c r="P272" s="155">
        <v>2963</v>
      </c>
      <c r="Q272" s="118">
        <f>+P272+N272+L272</f>
        <v>20978.437291666669</v>
      </c>
      <c r="R272" s="155">
        <f>+H272-Q272</f>
        <v>79021.562708333338</v>
      </c>
    </row>
    <row r="273" spans="1:18" ht="39.950000000000003" customHeight="1" x14ac:dyDescent="0.2">
      <c r="A273" s="385" t="s">
        <v>99</v>
      </c>
      <c r="B273" s="386"/>
      <c r="C273" s="100"/>
      <c r="D273" s="100"/>
      <c r="E273" s="100"/>
      <c r="F273" s="325"/>
      <c r="G273" s="325"/>
      <c r="H273" s="101">
        <f>+H272</f>
        <v>100000</v>
      </c>
      <c r="I273" s="101">
        <f t="shared" ref="I273:Q273" si="124">+I272</f>
        <v>2870</v>
      </c>
      <c r="J273" s="101">
        <f t="shared" si="124"/>
        <v>3040</v>
      </c>
      <c r="K273" s="101">
        <f t="shared" si="124"/>
        <v>0</v>
      </c>
      <c r="L273" s="101">
        <f t="shared" si="124"/>
        <v>5910</v>
      </c>
      <c r="M273" s="101">
        <f t="shared" si="124"/>
        <v>94090</v>
      </c>
      <c r="N273" s="101">
        <f t="shared" si="124"/>
        <v>12105.437291666667</v>
      </c>
      <c r="O273" s="101">
        <f t="shared" si="124"/>
        <v>0</v>
      </c>
      <c r="P273" s="101">
        <f t="shared" si="124"/>
        <v>2963</v>
      </c>
      <c r="Q273" s="101">
        <f t="shared" si="124"/>
        <v>20978.437291666669</v>
      </c>
      <c r="R273" s="101">
        <f>+R272</f>
        <v>79021.562708333338</v>
      </c>
    </row>
    <row r="274" spans="1:18" ht="39.950000000000003" customHeight="1" thickBot="1" x14ac:dyDescent="0.25">
      <c r="D274" s="192"/>
      <c r="E274" s="192"/>
      <c r="F274" s="336"/>
      <c r="G274" s="336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</row>
    <row r="275" spans="1:18" ht="39.950000000000003" customHeight="1" thickBot="1" x14ac:dyDescent="0.25">
      <c r="A275" s="171" t="s">
        <v>324</v>
      </c>
      <c r="B275" s="172"/>
      <c r="C275" s="172"/>
      <c r="D275" s="172"/>
      <c r="E275" s="198"/>
      <c r="F275" s="340"/>
      <c r="G275" s="340"/>
      <c r="H275" s="199">
        <f t="shared" ref="H275:R275" si="125">+H11+H20+H26+H35+H45+H53+H58+H62+H66+H74+H81+H88+H93+H97+H101+H108+H112+H115+H120+H123+H129+H146+H150+H156+H161+H166+H171+H175+H184+H188+H196+H201+H205+H215+H221+H227+H232+H236+H240+H244+H248+H251+H256+H260+H264+H269+H273+H141+H49+H70+H135</f>
        <v>11568000</v>
      </c>
      <c r="I275" s="199">
        <f t="shared" si="125"/>
        <v>332001.59999999998</v>
      </c>
      <c r="J275" s="199">
        <f t="shared" si="125"/>
        <v>351667.20000000001</v>
      </c>
      <c r="K275" s="199">
        <f t="shared" si="125"/>
        <v>61432.9</v>
      </c>
      <c r="L275" s="199">
        <f t="shared" si="125"/>
        <v>745101.70000000007</v>
      </c>
      <c r="M275" s="199">
        <f t="shared" si="125"/>
        <v>10822898.300000001</v>
      </c>
      <c r="N275" s="199">
        <f t="shared" si="125"/>
        <v>1201273.9216666662</v>
      </c>
      <c r="O275" s="199">
        <f t="shared" si="125"/>
        <v>0</v>
      </c>
      <c r="P275" s="199">
        <f t="shared" si="125"/>
        <v>314497.64999999991</v>
      </c>
      <c r="Q275" s="199">
        <f t="shared" si="125"/>
        <v>2260873.2716666674</v>
      </c>
      <c r="R275" s="199">
        <f t="shared" si="125"/>
        <v>9307126.7283333316</v>
      </c>
    </row>
    <row r="276" spans="1:18" ht="39.950000000000003" customHeight="1" x14ac:dyDescent="0.2">
      <c r="H276" s="296"/>
      <c r="I276"/>
      <c r="K276" s="201"/>
      <c r="R276" s="312"/>
    </row>
    <row r="277" spans="1:18" ht="39.950000000000003" customHeight="1" x14ac:dyDescent="0.2">
      <c r="H277" s="295"/>
      <c r="I277"/>
      <c r="R277" s="201"/>
    </row>
    <row r="278" spans="1:18" ht="39.950000000000003" customHeight="1" thickBot="1" x14ac:dyDescent="0.25">
      <c r="B278" s="361" t="s">
        <v>625</v>
      </c>
      <c r="C278" s="361"/>
      <c r="D278" s="200"/>
      <c r="E278" s="362"/>
      <c r="F278" s="362"/>
      <c r="G278" s="200"/>
      <c r="H278" s="202"/>
    </row>
    <row r="279" spans="1:18" ht="39.950000000000003" customHeight="1" x14ac:dyDescent="0.2">
      <c r="B279" s="363" t="s">
        <v>639</v>
      </c>
      <c r="C279" s="363"/>
      <c r="D279" s="200"/>
      <c r="E279" s="364"/>
      <c r="F279" s="364"/>
      <c r="G279" s="200"/>
    </row>
    <row r="64884" spans="2:2" ht="39.950000000000003" customHeight="1" x14ac:dyDescent="0.2">
      <c r="B64884" s="144">
        <f>SUM(B7:B64883)</f>
        <v>0</v>
      </c>
    </row>
    <row r="64886" spans="2:2" ht="39.950000000000003" customHeight="1" x14ac:dyDescent="0.2">
      <c r="B64886" s="144">
        <f>SUM(B64884)</f>
        <v>0</v>
      </c>
    </row>
    <row r="1048212" spans="17:17" ht="39.950000000000003" customHeight="1" x14ac:dyDescent="0.2">
      <c r="Q1048212" s="123" t="e">
        <f>SUM(#REF!)</f>
        <v>#REF!</v>
      </c>
    </row>
  </sheetData>
  <mergeCells count="59">
    <mergeCell ref="A45:B45"/>
    <mergeCell ref="A53:B53"/>
    <mergeCell ref="A58:B58"/>
    <mergeCell ref="A66:B66"/>
    <mergeCell ref="A74:B74"/>
    <mergeCell ref="A62:B62"/>
    <mergeCell ref="A49:B49"/>
    <mergeCell ref="A70:B70"/>
    <mergeCell ref="A11:B11"/>
    <mergeCell ref="A35:B35"/>
    <mergeCell ref="A2:R2"/>
    <mergeCell ref="A3:R3"/>
    <mergeCell ref="A4:R4"/>
    <mergeCell ref="A26:B26"/>
    <mergeCell ref="A20:B20"/>
    <mergeCell ref="I6:L6"/>
    <mergeCell ref="A184:B184"/>
    <mergeCell ref="A215:B215"/>
    <mergeCell ref="A81:B81"/>
    <mergeCell ref="A88:B88"/>
    <mergeCell ref="A93:B93"/>
    <mergeCell ref="A101:B101"/>
    <mergeCell ref="A97:B97"/>
    <mergeCell ref="A108:B108"/>
    <mergeCell ref="A112:B112"/>
    <mergeCell ref="A120:B120"/>
    <mergeCell ref="A129:B129"/>
    <mergeCell ref="A141:B141"/>
    <mergeCell ref="A123:B123"/>
    <mergeCell ref="A115:B115"/>
    <mergeCell ref="A135:B135"/>
    <mergeCell ref="A221:B221"/>
    <mergeCell ref="A205:B205"/>
    <mergeCell ref="A248:B248"/>
    <mergeCell ref="A196:B196"/>
    <mergeCell ref="A201:B201"/>
    <mergeCell ref="E278:F278"/>
    <mergeCell ref="E279:F279"/>
    <mergeCell ref="A146:B146"/>
    <mergeCell ref="A244:B244"/>
    <mergeCell ref="A227:B227"/>
    <mergeCell ref="A232:B232"/>
    <mergeCell ref="A188:B188"/>
    <mergeCell ref="A150:B150"/>
    <mergeCell ref="A251:B251"/>
    <mergeCell ref="A236:B236"/>
    <mergeCell ref="A240:B240"/>
    <mergeCell ref="A156:B156"/>
    <mergeCell ref="A161:B161"/>
    <mergeCell ref="A171:B171"/>
    <mergeCell ref="A166:B166"/>
    <mergeCell ref="A175:B175"/>
    <mergeCell ref="A256:B256"/>
    <mergeCell ref="A260:B260"/>
    <mergeCell ref="B278:C278"/>
    <mergeCell ref="B279:C279"/>
    <mergeCell ref="A273:B273"/>
    <mergeCell ref="A264:B264"/>
    <mergeCell ref="A269:B269"/>
  </mergeCells>
  <phoneticPr fontId="19" type="noConversion"/>
  <pageMargins left="0.15748031496062992" right="0.15748031496062992" top="0.15748031496062992" bottom="0.17" header="0.15748031496062992" footer="0.15748031496062992"/>
  <pageSetup paperSize="5" scale="46" fitToHeight="0" orientation="landscape" r:id="rId1"/>
  <rowBreaks count="11" manualBreakCount="11">
    <brk id="31" max="17" man="1"/>
    <brk id="56" max="17" man="1"/>
    <brk id="79" max="17" man="1"/>
    <brk id="104" max="17" man="1"/>
    <brk id="127" max="17" man="1"/>
    <brk id="151" max="17" man="1"/>
    <brk id="175" max="17" man="1"/>
    <brk id="196" max="17" man="1"/>
    <brk id="221" max="17" man="1"/>
    <brk id="244" max="17" man="1"/>
    <brk id="264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F6AE-B7EA-4DD9-ABA0-965AC9C19624}">
  <sheetPr>
    <pageSetUpPr fitToPage="1"/>
  </sheetPr>
  <dimension ref="B1:N999970"/>
  <sheetViews>
    <sheetView showGridLines="0" zoomScale="82" zoomScaleNormal="82" workbookViewId="0">
      <pane xSplit="3" ySplit="6" topLeftCell="D116" activePane="bottomRight" state="frozen"/>
      <selection pane="topRight" activeCell="C1" sqref="C1"/>
      <selection pane="bottomLeft" activeCell="A9" sqref="A9"/>
      <selection pane="bottomRight" activeCell="J126" sqref="J126"/>
    </sheetView>
  </sheetViews>
  <sheetFormatPr baseColWidth="10" defaultColWidth="11.42578125" defaultRowHeight="20.100000000000001" customHeight="1" x14ac:dyDescent="0.2"/>
  <cols>
    <col min="1" max="1" width="1.85546875" style="1" customWidth="1"/>
    <col min="2" max="2" width="6.42578125" style="3" customWidth="1"/>
    <col min="3" max="3" width="46.42578125" style="12" customWidth="1"/>
    <col min="4" max="4" width="9.85546875" style="3" customWidth="1"/>
    <col min="5" max="5" width="42.7109375" style="12" customWidth="1"/>
    <col min="6" max="6" width="30" style="89" customWidth="1"/>
    <col min="7" max="7" width="20.7109375" style="2" customWidth="1"/>
    <col min="8" max="9" width="17.7109375" style="1" customWidth="1"/>
    <col min="10" max="10" width="24.42578125" style="1" customWidth="1"/>
    <col min="11" max="11" width="24.28515625" style="1" customWidth="1"/>
    <col min="12" max="12" width="24.140625" style="1" customWidth="1"/>
    <col min="13" max="13" width="17.28515625" style="1" customWidth="1"/>
    <col min="14" max="16384" width="11.42578125" style="1"/>
  </cols>
  <sheetData>
    <row r="1" spans="2:13" ht="20.100000000000001" customHeight="1" x14ac:dyDescent="0.35">
      <c r="B1" s="368" t="s">
        <v>325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</row>
    <row r="2" spans="2:13" ht="20.100000000000001" customHeight="1" x14ac:dyDescent="0.35">
      <c r="B2" s="369" t="s">
        <v>340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</row>
    <row r="3" spans="2:13" ht="20.100000000000001" customHeight="1" x14ac:dyDescent="0.3">
      <c r="B3" s="370" t="s">
        <v>664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</row>
    <row r="4" spans="2:13" ht="20.100000000000001" customHeight="1" thickBot="1" x14ac:dyDescent="0.35">
      <c r="B4" s="370"/>
      <c r="C4" s="370"/>
      <c r="D4" s="6"/>
      <c r="E4" s="11"/>
      <c r="F4" s="85"/>
      <c r="G4" s="6"/>
    </row>
    <row r="5" spans="2:13" ht="20.100000000000001" customHeight="1" thickBot="1" x14ac:dyDescent="0.3">
      <c r="B5" s="15"/>
      <c r="C5" s="16"/>
      <c r="D5" s="15"/>
      <c r="E5" s="16"/>
      <c r="F5" s="86"/>
      <c r="G5" s="17"/>
      <c r="H5" s="371" t="s">
        <v>95</v>
      </c>
      <c r="I5" s="372"/>
      <c r="J5" s="18"/>
      <c r="K5" s="18"/>
      <c r="L5" s="18"/>
    </row>
    <row r="6" spans="2:13" s="7" customFormat="1" ht="36.75" customHeight="1" thickBot="1" x14ac:dyDescent="0.3">
      <c r="B6" s="19" t="s">
        <v>0</v>
      </c>
      <c r="C6" s="19" t="s">
        <v>293</v>
      </c>
      <c r="D6" s="19" t="s">
        <v>337</v>
      </c>
      <c r="E6" s="19" t="s">
        <v>101</v>
      </c>
      <c r="F6" s="92" t="s">
        <v>89</v>
      </c>
      <c r="G6" s="19" t="s">
        <v>98</v>
      </c>
      <c r="H6" s="20" t="s">
        <v>1</v>
      </c>
      <c r="I6" s="20" t="s">
        <v>2</v>
      </c>
      <c r="J6" s="21" t="s">
        <v>90</v>
      </c>
      <c r="K6" s="21" t="s">
        <v>3</v>
      </c>
      <c r="L6" s="21" t="s">
        <v>91</v>
      </c>
    </row>
    <row r="7" spans="2:13" s="25" customFormat="1" ht="20.100000000000001" customHeight="1" thickBot="1" x14ac:dyDescent="0.3">
      <c r="B7" s="358" t="s">
        <v>148</v>
      </c>
      <c r="C7" s="359"/>
      <c r="D7" s="359"/>
      <c r="E7" s="359"/>
      <c r="F7" s="359"/>
      <c r="G7" s="359"/>
      <c r="H7" s="359"/>
      <c r="I7" s="359"/>
      <c r="J7" s="359"/>
      <c r="K7" s="359"/>
      <c r="L7" s="360"/>
    </row>
    <row r="8" spans="2:13" s="25" customFormat="1" ht="28.5" customHeight="1" x14ac:dyDescent="0.25">
      <c r="B8" s="22">
        <f>1</f>
        <v>1</v>
      </c>
      <c r="C8" s="54" t="s">
        <v>112</v>
      </c>
      <c r="D8" s="22" t="s">
        <v>336</v>
      </c>
      <c r="E8" s="55" t="s">
        <v>362</v>
      </c>
      <c r="F8" s="60" t="s">
        <v>96</v>
      </c>
      <c r="G8" s="56">
        <v>19500</v>
      </c>
      <c r="H8" s="56">
        <v>559.64999999999964</v>
      </c>
      <c r="I8" s="53">
        <v>592.79999999999995</v>
      </c>
      <c r="J8" s="56">
        <v>4586.8900000000003</v>
      </c>
      <c r="K8" s="53">
        <f>SUM(H8:J8)</f>
        <v>5739.34</v>
      </c>
      <c r="L8" s="44">
        <f>+G8-K8</f>
        <v>13760.66</v>
      </c>
    </row>
    <row r="9" spans="2:13" s="25" customFormat="1" ht="20.100000000000001" customHeight="1" x14ac:dyDescent="0.25">
      <c r="B9" s="348" t="s">
        <v>99</v>
      </c>
      <c r="C9" s="349"/>
      <c r="D9" s="349"/>
      <c r="E9" s="349"/>
      <c r="F9" s="349"/>
      <c r="G9" s="23">
        <f>SUM(G8)</f>
        <v>19500</v>
      </c>
      <c r="H9" s="23">
        <f t="shared" ref="H9:L9" si="0">SUM(H8)</f>
        <v>559.64999999999964</v>
      </c>
      <c r="I9" s="23">
        <f t="shared" si="0"/>
        <v>592.79999999999995</v>
      </c>
      <c r="J9" s="23">
        <f t="shared" si="0"/>
        <v>4586.8900000000003</v>
      </c>
      <c r="K9" s="23">
        <f t="shared" si="0"/>
        <v>5739.34</v>
      </c>
      <c r="L9" s="23">
        <f t="shared" si="0"/>
        <v>13760.66</v>
      </c>
      <c r="M9" s="341"/>
    </row>
    <row r="10" spans="2:13" s="26" customFormat="1" ht="20.100000000000001" customHeight="1" thickBot="1" x14ac:dyDescent="0.3">
      <c r="B10" s="34"/>
      <c r="C10" s="34"/>
      <c r="D10" s="34"/>
      <c r="E10" s="34"/>
      <c r="F10" s="93"/>
    </row>
    <row r="11" spans="2:13" s="41" customFormat="1" ht="20.100000000000001" customHeight="1" thickBot="1" x14ac:dyDescent="0.3">
      <c r="B11" s="358" t="s">
        <v>123</v>
      </c>
      <c r="C11" s="359"/>
      <c r="D11" s="359"/>
      <c r="E11" s="359"/>
      <c r="F11" s="359"/>
      <c r="G11" s="359"/>
      <c r="H11" s="359"/>
      <c r="I11" s="359"/>
      <c r="J11" s="359"/>
      <c r="K11" s="359"/>
      <c r="L11" s="360"/>
    </row>
    <row r="12" spans="2:13" s="25" customFormat="1" ht="27" customHeight="1" x14ac:dyDescent="0.25">
      <c r="B12" s="22">
        <f>+B8+1</f>
        <v>2</v>
      </c>
      <c r="C12" s="57" t="s">
        <v>32</v>
      </c>
      <c r="D12" s="58" t="s">
        <v>336</v>
      </c>
      <c r="E12" s="59" t="s">
        <v>358</v>
      </c>
      <c r="F12" s="60" t="s">
        <v>97</v>
      </c>
      <c r="G12" s="43">
        <v>53000</v>
      </c>
      <c r="H12" s="43">
        <f>+G12*2.87%</f>
        <v>1521.1</v>
      </c>
      <c r="I12" s="43">
        <f>+G12*3.04%</f>
        <v>1611.2</v>
      </c>
      <c r="J12" s="53">
        <v>12466.93</v>
      </c>
      <c r="K12" s="43">
        <f>SUM(H12:J12)</f>
        <v>15599.23</v>
      </c>
      <c r="L12" s="44">
        <f>+G12-K12</f>
        <v>37400.770000000004</v>
      </c>
    </row>
    <row r="13" spans="2:13" s="25" customFormat="1" ht="20.100000000000001" customHeight="1" x14ac:dyDescent="0.25">
      <c r="B13" s="348" t="s">
        <v>99</v>
      </c>
      <c r="C13" s="349"/>
      <c r="D13" s="349"/>
      <c r="E13" s="349"/>
      <c r="F13" s="350"/>
      <c r="G13" s="23">
        <f>+G12</f>
        <v>53000</v>
      </c>
      <c r="H13" s="23">
        <f t="shared" ref="H13:L13" si="1">+H12</f>
        <v>1521.1</v>
      </c>
      <c r="I13" s="23">
        <f t="shared" si="1"/>
        <v>1611.2</v>
      </c>
      <c r="J13" s="23">
        <f t="shared" si="1"/>
        <v>12466.93</v>
      </c>
      <c r="K13" s="23">
        <f t="shared" si="1"/>
        <v>15599.23</v>
      </c>
      <c r="L13" s="23">
        <f t="shared" si="1"/>
        <v>37400.770000000004</v>
      </c>
      <c r="M13" s="341"/>
    </row>
    <row r="14" spans="2:13" s="25" customFormat="1" ht="20.100000000000001" customHeight="1" thickBot="1" x14ac:dyDescent="0.3">
      <c r="B14" s="34"/>
      <c r="C14" s="34"/>
      <c r="D14" s="34"/>
      <c r="E14" s="34"/>
      <c r="F14" s="93"/>
      <c r="G14" s="51"/>
      <c r="H14" s="51"/>
      <c r="I14" s="51"/>
      <c r="J14" s="51"/>
      <c r="K14" s="51"/>
      <c r="L14" s="51"/>
    </row>
    <row r="15" spans="2:13" s="41" customFormat="1" ht="20.100000000000001" customHeight="1" thickBot="1" x14ac:dyDescent="0.3">
      <c r="B15" s="358" t="s">
        <v>205</v>
      </c>
      <c r="C15" s="359"/>
      <c r="D15" s="359"/>
      <c r="E15" s="359"/>
      <c r="F15" s="359"/>
      <c r="G15" s="359"/>
      <c r="H15" s="359"/>
      <c r="I15" s="359"/>
      <c r="J15" s="359"/>
      <c r="K15" s="359"/>
      <c r="L15" s="360"/>
    </row>
    <row r="16" spans="2:13" s="25" customFormat="1" ht="27" customHeight="1" x14ac:dyDescent="0.25">
      <c r="B16" s="42">
        <f>+B12+1</f>
        <v>3</v>
      </c>
      <c r="C16" s="57" t="s">
        <v>40</v>
      </c>
      <c r="D16" s="58" t="s">
        <v>336</v>
      </c>
      <c r="E16" s="59" t="s">
        <v>150</v>
      </c>
      <c r="F16" s="60" t="s">
        <v>97</v>
      </c>
      <c r="G16" s="53">
        <v>63500</v>
      </c>
      <c r="H16" s="43">
        <v>1822.45</v>
      </c>
      <c r="I16" s="43">
        <v>1930.4</v>
      </c>
      <c r="J16" s="53">
        <v>14885.707500000004</v>
      </c>
      <c r="K16" s="43">
        <v>18689.64</v>
      </c>
      <c r="L16" s="44">
        <f>+G16-K16</f>
        <v>44810.36</v>
      </c>
    </row>
    <row r="17" spans="2:13" s="25" customFormat="1" ht="20.100000000000001" customHeight="1" x14ac:dyDescent="0.25">
      <c r="B17" s="348" t="s">
        <v>99</v>
      </c>
      <c r="C17" s="349"/>
      <c r="D17" s="349"/>
      <c r="E17" s="349"/>
      <c r="F17" s="350"/>
      <c r="G17" s="23">
        <f t="shared" ref="G17:L17" si="2">SUM(G16:G16)</f>
        <v>63500</v>
      </c>
      <c r="H17" s="23">
        <f t="shared" si="2"/>
        <v>1822.45</v>
      </c>
      <c r="I17" s="23">
        <f t="shared" si="2"/>
        <v>1930.4</v>
      </c>
      <c r="J17" s="23">
        <f t="shared" si="2"/>
        <v>14885.707500000004</v>
      </c>
      <c r="K17" s="23">
        <f t="shared" si="2"/>
        <v>18689.64</v>
      </c>
      <c r="L17" s="23">
        <f t="shared" si="2"/>
        <v>44810.36</v>
      </c>
      <c r="M17" s="341"/>
    </row>
    <row r="18" spans="2:13" s="25" customFormat="1" ht="20.100000000000001" customHeight="1" thickBot="1" x14ac:dyDescent="0.3">
      <c r="B18" s="34"/>
      <c r="C18" s="34"/>
      <c r="D18" s="34"/>
      <c r="E18" s="34"/>
      <c r="F18" s="93"/>
      <c r="G18" s="26"/>
      <c r="H18" s="26"/>
      <c r="I18" s="26"/>
      <c r="J18" s="26"/>
      <c r="K18" s="26"/>
      <c r="L18" s="26"/>
    </row>
    <row r="19" spans="2:13" s="25" customFormat="1" ht="20.100000000000001" customHeight="1" thickBot="1" x14ac:dyDescent="0.3">
      <c r="B19" s="358" t="s">
        <v>469</v>
      </c>
      <c r="C19" s="359"/>
      <c r="D19" s="359"/>
      <c r="E19" s="359"/>
      <c r="F19" s="359"/>
      <c r="G19" s="359"/>
      <c r="H19" s="359"/>
      <c r="I19" s="359"/>
      <c r="J19" s="359"/>
      <c r="K19" s="359"/>
      <c r="L19" s="360"/>
    </row>
    <row r="20" spans="2:13" s="51" customFormat="1" ht="27.75" customHeight="1" x14ac:dyDescent="0.25">
      <c r="B20" s="42">
        <f>+B16+1</f>
        <v>4</v>
      </c>
      <c r="C20" s="57" t="s">
        <v>468</v>
      </c>
      <c r="D20" s="58" t="s">
        <v>336</v>
      </c>
      <c r="E20" s="59" t="s">
        <v>35</v>
      </c>
      <c r="F20" s="60" t="s">
        <v>97</v>
      </c>
      <c r="G20" s="53">
        <v>20000</v>
      </c>
      <c r="H20" s="43">
        <f>+G20*2.87%</f>
        <v>574</v>
      </c>
      <c r="I20" s="43">
        <f>+G20*3.04%</f>
        <v>608</v>
      </c>
      <c r="J20" s="53">
        <v>0</v>
      </c>
      <c r="K20" s="43">
        <f>+H20+I20</f>
        <v>1182</v>
      </c>
      <c r="L20" s="44">
        <f>+G20-K20</f>
        <v>18818</v>
      </c>
    </row>
    <row r="21" spans="2:13" s="25" customFormat="1" ht="20.100000000000001" customHeight="1" thickBot="1" x14ac:dyDescent="0.3">
      <c r="B21" s="348" t="s">
        <v>99</v>
      </c>
      <c r="C21" s="349"/>
      <c r="D21" s="349"/>
      <c r="E21" s="349"/>
      <c r="F21" s="350"/>
      <c r="G21" s="23">
        <f t="shared" ref="G21:L21" si="3">SUM(G20:G20)</f>
        <v>20000</v>
      </c>
      <c r="H21" s="23">
        <f t="shared" si="3"/>
        <v>574</v>
      </c>
      <c r="I21" s="23">
        <f t="shared" si="3"/>
        <v>608</v>
      </c>
      <c r="J21" s="23">
        <f t="shared" si="3"/>
        <v>0</v>
      </c>
      <c r="K21" s="23">
        <f t="shared" si="3"/>
        <v>1182</v>
      </c>
      <c r="L21" s="23">
        <f t="shared" si="3"/>
        <v>18818</v>
      </c>
      <c r="M21" s="341"/>
    </row>
    <row r="22" spans="2:13" s="25" customFormat="1" ht="20.100000000000001" customHeight="1" thickBot="1" x14ac:dyDescent="0.3">
      <c r="B22" s="358" t="s">
        <v>127</v>
      </c>
      <c r="C22" s="359"/>
      <c r="D22" s="359"/>
      <c r="E22" s="359"/>
      <c r="F22" s="359"/>
      <c r="G22" s="359"/>
      <c r="H22" s="359"/>
      <c r="I22" s="359"/>
      <c r="J22" s="359"/>
      <c r="K22" s="359"/>
      <c r="L22" s="360"/>
    </row>
    <row r="23" spans="2:13" s="25" customFormat="1" ht="33.75" customHeight="1" x14ac:dyDescent="0.25">
      <c r="B23" s="58">
        <f>+B20+1</f>
        <v>5</v>
      </c>
      <c r="C23" s="25" t="s">
        <v>569</v>
      </c>
      <c r="D23" s="25" t="s">
        <v>336</v>
      </c>
      <c r="E23" s="309" t="s">
        <v>570</v>
      </c>
      <c r="F23" s="25" t="s">
        <v>97</v>
      </c>
      <c r="G23" s="53">
        <v>35000</v>
      </c>
      <c r="H23" s="43">
        <f>+G23*2.87%</f>
        <v>1004.5</v>
      </c>
      <c r="I23" s="43">
        <f>+G23*3.04%</f>
        <v>1064</v>
      </c>
      <c r="J23" s="53">
        <v>8130.71</v>
      </c>
      <c r="K23" s="43">
        <v>10301.379999999999</v>
      </c>
      <c r="L23" s="44">
        <f>+G23-K23</f>
        <v>24698.620000000003</v>
      </c>
    </row>
    <row r="24" spans="2:13" s="51" customFormat="1" ht="20.100000000000001" customHeight="1" x14ac:dyDescent="0.25">
      <c r="B24" s="348" t="s">
        <v>99</v>
      </c>
      <c r="C24" s="349"/>
      <c r="D24" s="349"/>
      <c r="E24" s="349"/>
      <c r="F24" s="350"/>
      <c r="G24" s="23">
        <f>+G23</f>
        <v>35000</v>
      </c>
      <c r="H24" s="23">
        <f t="shared" ref="H24:L24" si="4">+H23</f>
        <v>1004.5</v>
      </c>
      <c r="I24" s="23">
        <f t="shared" si="4"/>
        <v>1064</v>
      </c>
      <c r="J24" s="23">
        <f t="shared" si="4"/>
        <v>8130.71</v>
      </c>
      <c r="K24" s="23">
        <f t="shared" si="4"/>
        <v>10301.379999999999</v>
      </c>
      <c r="L24" s="23">
        <f t="shared" si="4"/>
        <v>24698.620000000003</v>
      </c>
      <c r="M24" s="342"/>
    </row>
    <row r="25" spans="2:13" s="25" customFormat="1" ht="20.100000000000001" customHeight="1" thickBot="1" x14ac:dyDescent="0.3">
      <c r="B25" s="30"/>
      <c r="C25" s="28"/>
      <c r="D25" s="30"/>
      <c r="E25" s="29"/>
      <c r="F25" s="87"/>
      <c r="L25" s="24"/>
    </row>
    <row r="26" spans="2:13" s="25" customFormat="1" ht="20.100000000000001" customHeight="1" thickBot="1" x14ac:dyDescent="0.3">
      <c r="B26" s="351" t="s">
        <v>154</v>
      </c>
      <c r="C26" s="352"/>
      <c r="D26" s="352"/>
      <c r="E26" s="352"/>
      <c r="F26" s="352"/>
      <c r="G26" s="352"/>
      <c r="H26" s="352"/>
      <c r="I26" s="352"/>
      <c r="J26" s="352"/>
      <c r="K26" s="352"/>
      <c r="L26" s="353"/>
    </row>
    <row r="27" spans="2:13" s="25" customFormat="1" ht="30" customHeight="1" x14ac:dyDescent="0.25">
      <c r="B27" s="58">
        <f>+B23+1</f>
        <v>6</v>
      </c>
      <c r="C27" s="57" t="s">
        <v>571</v>
      </c>
      <c r="D27" s="58" t="s">
        <v>336</v>
      </c>
      <c r="E27" s="55" t="s">
        <v>209</v>
      </c>
      <c r="F27" s="60" t="s">
        <v>97</v>
      </c>
      <c r="G27" s="53">
        <v>51000</v>
      </c>
      <c r="H27" s="43">
        <f>+G27*2.87%</f>
        <v>1463.7</v>
      </c>
      <c r="I27" s="43">
        <f>+G27*3.04%</f>
        <v>1550.4</v>
      </c>
      <c r="J27" s="43">
        <v>11894.32</v>
      </c>
      <c r="K27" s="43">
        <v>15010.58</v>
      </c>
      <c r="L27" s="44">
        <f>+G27-K27</f>
        <v>35989.42</v>
      </c>
    </row>
    <row r="28" spans="2:13" s="25" customFormat="1" ht="20.100000000000001" customHeight="1" x14ac:dyDescent="0.25">
      <c r="B28" s="348" t="s">
        <v>99</v>
      </c>
      <c r="C28" s="349"/>
      <c r="D28" s="349"/>
      <c r="E28" s="349"/>
      <c r="F28" s="350"/>
      <c r="G28" s="23">
        <f t="shared" ref="G28:L28" si="5">SUM(G27:G27)</f>
        <v>51000</v>
      </c>
      <c r="H28" s="23">
        <f t="shared" si="5"/>
        <v>1463.7</v>
      </c>
      <c r="I28" s="23">
        <f t="shared" si="5"/>
        <v>1550.4</v>
      </c>
      <c r="J28" s="23">
        <f t="shared" si="5"/>
        <v>11894.32</v>
      </c>
      <c r="K28" s="23">
        <f t="shared" si="5"/>
        <v>15010.58</v>
      </c>
      <c r="L28" s="23">
        <f t="shared" si="5"/>
        <v>35989.42</v>
      </c>
      <c r="M28" s="341"/>
    </row>
    <row r="29" spans="2:13" s="26" customFormat="1" ht="20.100000000000001" customHeight="1" thickBot="1" x14ac:dyDescent="0.3">
      <c r="B29" s="34"/>
      <c r="C29" s="34"/>
      <c r="D29" s="34"/>
      <c r="E29" s="34"/>
      <c r="F29" s="93"/>
    </row>
    <row r="30" spans="2:13" s="25" customFormat="1" ht="20.100000000000001" customHeight="1" thickBot="1" x14ac:dyDescent="0.3">
      <c r="B30" s="351" t="s">
        <v>128</v>
      </c>
      <c r="C30" s="352"/>
      <c r="D30" s="352"/>
      <c r="E30" s="352"/>
      <c r="F30" s="352"/>
      <c r="G30" s="352"/>
      <c r="H30" s="352"/>
      <c r="I30" s="352"/>
      <c r="J30" s="352"/>
      <c r="K30" s="352"/>
      <c r="L30" s="353"/>
    </row>
    <row r="31" spans="2:13" s="52" customFormat="1" ht="34.5" customHeight="1" x14ac:dyDescent="0.25">
      <c r="B31" s="42">
        <f>+B27+1</f>
        <v>7</v>
      </c>
      <c r="C31" s="57" t="s">
        <v>45</v>
      </c>
      <c r="D31" s="58" t="s">
        <v>584</v>
      </c>
      <c r="E31" s="55" t="s">
        <v>591</v>
      </c>
      <c r="F31" s="60" t="s">
        <v>165</v>
      </c>
      <c r="G31" s="53">
        <v>10000</v>
      </c>
      <c r="H31" s="43">
        <f>+G31*2.87%</f>
        <v>287</v>
      </c>
      <c r="I31" s="43">
        <f>+G31*3.04%</f>
        <v>304</v>
      </c>
      <c r="J31" s="53">
        <v>1881.8</v>
      </c>
      <c r="K31" s="53">
        <f>SUM(H31:J31)</f>
        <v>2472.8000000000002</v>
      </c>
      <c r="L31" s="44">
        <f>+G31-K31</f>
        <v>7527.2</v>
      </c>
    </row>
    <row r="32" spans="2:13" s="52" customFormat="1" ht="34.5" customHeight="1" x14ac:dyDescent="0.25">
      <c r="B32" s="42">
        <f>+B31+1</f>
        <v>8</v>
      </c>
      <c r="C32" s="57" t="s">
        <v>46</v>
      </c>
      <c r="D32" s="58" t="s">
        <v>336</v>
      </c>
      <c r="E32" s="55" t="s">
        <v>155</v>
      </c>
      <c r="F32" s="60" t="s">
        <v>97</v>
      </c>
      <c r="G32" s="53">
        <v>52000</v>
      </c>
      <c r="H32" s="43">
        <v>1492.4</v>
      </c>
      <c r="I32" s="43">
        <v>1580.8</v>
      </c>
      <c r="J32" s="53">
        <v>12231.7</v>
      </c>
      <c r="K32" s="53">
        <f>SUM(H32:J32)</f>
        <v>15304.900000000001</v>
      </c>
      <c r="L32" s="44">
        <f>+G32-K32</f>
        <v>36695.1</v>
      </c>
    </row>
    <row r="33" spans="2:13" s="25" customFormat="1" ht="20.100000000000001" customHeight="1" x14ac:dyDescent="0.25">
      <c r="B33" s="348" t="s">
        <v>99</v>
      </c>
      <c r="C33" s="349"/>
      <c r="D33" s="349"/>
      <c r="E33" s="349"/>
      <c r="F33" s="350"/>
      <c r="G33" s="23">
        <f t="shared" ref="G33:K33" si="6">SUM(G31:G32)</f>
        <v>62000</v>
      </c>
      <c r="H33" s="23">
        <f t="shared" si="6"/>
        <v>1779.4</v>
      </c>
      <c r="I33" s="23">
        <f t="shared" si="6"/>
        <v>1884.8</v>
      </c>
      <c r="J33" s="23">
        <f t="shared" si="6"/>
        <v>14113.5</v>
      </c>
      <c r="K33" s="23">
        <f t="shared" si="6"/>
        <v>17777.7</v>
      </c>
      <c r="L33" s="23">
        <f>SUM(L31:L32)</f>
        <v>44222.299999999996</v>
      </c>
      <c r="M33" s="341"/>
    </row>
    <row r="34" spans="2:13" s="25" customFormat="1" ht="20.100000000000001" customHeight="1" thickBot="1" x14ac:dyDescent="0.3">
      <c r="B34" s="30"/>
      <c r="C34" s="28"/>
      <c r="D34" s="30"/>
      <c r="E34" s="29"/>
      <c r="F34" s="87"/>
      <c r="L34" s="24"/>
    </row>
    <row r="35" spans="2:13" s="25" customFormat="1" ht="20.100000000000001" customHeight="1" thickBot="1" x14ac:dyDescent="0.3">
      <c r="B35" s="351" t="s">
        <v>129</v>
      </c>
      <c r="C35" s="352"/>
      <c r="D35" s="352"/>
      <c r="E35" s="352"/>
      <c r="F35" s="352"/>
      <c r="G35" s="352"/>
      <c r="H35" s="352"/>
      <c r="I35" s="352"/>
      <c r="J35" s="352"/>
      <c r="K35" s="352"/>
      <c r="L35" s="353"/>
    </row>
    <row r="36" spans="2:13" s="35" customFormat="1" ht="45.6" customHeight="1" x14ac:dyDescent="0.25">
      <c r="B36" s="46">
        <f>+B32+1</f>
        <v>9</v>
      </c>
      <c r="C36" s="72" t="s">
        <v>404</v>
      </c>
      <c r="D36" s="73" t="s">
        <v>336</v>
      </c>
      <c r="E36" s="55" t="s">
        <v>405</v>
      </c>
      <c r="F36" s="88" t="s">
        <v>96</v>
      </c>
      <c r="G36" s="68">
        <v>65000</v>
      </c>
      <c r="H36" s="43">
        <f>+G36*2.87%</f>
        <v>1865.5</v>
      </c>
      <c r="I36" s="43">
        <f>+G36*3.04%</f>
        <v>1976</v>
      </c>
      <c r="J36" s="68">
        <v>15289.63</v>
      </c>
      <c r="K36" s="69">
        <v>19131.13</v>
      </c>
      <c r="L36" s="84">
        <f>+G36-K36</f>
        <v>45868.869999999995</v>
      </c>
    </row>
    <row r="37" spans="2:13" s="25" customFormat="1" ht="29.25" customHeight="1" x14ac:dyDescent="0.25">
      <c r="B37" s="46">
        <f>+B36+1</f>
        <v>10</v>
      </c>
      <c r="C37" s="54" t="s">
        <v>464</v>
      </c>
      <c r="D37" s="22" t="s">
        <v>335</v>
      </c>
      <c r="E37" s="55" t="s">
        <v>118</v>
      </c>
      <c r="F37" s="60" t="s">
        <v>96</v>
      </c>
      <c r="G37" s="56">
        <v>45000</v>
      </c>
      <c r="H37" s="43">
        <f>+G37*2.87%</f>
        <v>1291.5</v>
      </c>
      <c r="I37" s="43">
        <f>+G37*3.04%</f>
        <v>1368</v>
      </c>
      <c r="J37" s="48">
        <v>8604.86</v>
      </c>
      <c r="K37" s="53">
        <f>SUM(H37:J37)</f>
        <v>11264.36</v>
      </c>
      <c r="L37" s="44">
        <f>+G37-K37</f>
        <v>33735.64</v>
      </c>
      <c r="M37" s="343"/>
    </row>
    <row r="38" spans="2:13" s="25" customFormat="1" ht="20.100000000000001" customHeight="1" x14ac:dyDescent="0.25">
      <c r="B38" s="348" t="s">
        <v>99</v>
      </c>
      <c r="C38" s="349"/>
      <c r="D38" s="349"/>
      <c r="E38" s="349"/>
      <c r="F38" s="350"/>
      <c r="G38" s="23">
        <f>SUM(G36:G37)</f>
        <v>110000</v>
      </c>
      <c r="H38" s="23">
        <f t="shared" ref="H38:L38" si="7">SUM(H36:H37)</f>
        <v>3157</v>
      </c>
      <c r="I38" s="23">
        <f t="shared" si="7"/>
        <v>3344</v>
      </c>
      <c r="J38" s="23">
        <f t="shared" si="7"/>
        <v>23894.489999999998</v>
      </c>
      <c r="K38" s="23">
        <f>SUM(K36:K37)</f>
        <v>30395.49</v>
      </c>
      <c r="L38" s="23">
        <f t="shared" si="7"/>
        <v>79604.509999999995</v>
      </c>
    </row>
    <row r="39" spans="2:13" ht="20.100000000000001" customHeight="1" thickBot="1" x14ac:dyDescent="0.3">
      <c r="B39" s="30"/>
      <c r="C39" s="28"/>
      <c r="D39" s="30"/>
      <c r="E39" s="29"/>
      <c r="F39" s="87"/>
      <c r="G39" s="25"/>
      <c r="H39" s="25"/>
      <c r="I39" s="25"/>
      <c r="J39" s="25"/>
      <c r="K39" s="25"/>
      <c r="L39" s="24"/>
    </row>
    <row r="40" spans="2:13" ht="28.5" customHeight="1" thickBot="1" x14ac:dyDescent="0.3">
      <c r="B40" s="351" t="s">
        <v>132</v>
      </c>
      <c r="C40" s="352"/>
      <c r="D40" s="352"/>
      <c r="E40" s="352"/>
      <c r="F40" s="352"/>
      <c r="G40" s="352"/>
      <c r="H40" s="352"/>
      <c r="I40" s="352"/>
      <c r="J40" s="352"/>
      <c r="K40" s="352"/>
      <c r="L40" s="353"/>
    </row>
    <row r="41" spans="2:13" ht="30.75" customHeight="1" x14ac:dyDescent="0.25">
      <c r="B41" s="58">
        <f>+B37+1</f>
        <v>11</v>
      </c>
      <c r="C41" s="57" t="s">
        <v>415</v>
      </c>
      <c r="D41" s="58" t="s">
        <v>336</v>
      </c>
      <c r="E41" s="59" t="s">
        <v>156</v>
      </c>
      <c r="F41" s="88" t="s">
        <v>96</v>
      </c>
      <c r="G41" s="43">
        <v>70000</v>
      </c>
      <c r="H41" s="43">
        <f>+G41*2.87%</f>
        <v>2009</v>
      </c>
      <c r="I41" s="43">
        <f>+G41*3.04%</f>
        <v>2128</v>
      </c>
      <c r="J41" s="48">
        <v>16465.75</v>
      </c>
      <c r="K41" s="43">
        <f>SUM(H41:J41)</f>
        <v>20602.75</v>
      </c>
      <c r="L41" s="44">
        <f>+G41-K41</f>
        <v>49397.25</v>
      </c>
    </row>
    <row r="42" spans="2:13" s="25" customFormat="1" ht="20.100000000000001" customHeight="1" x14ac:dyDescent="0.25">
      <c r="B42" s="348" t="s">
        <v>99</v>
      </c>
      <c r="C42" s="349"/>
      <c r="D42" s="349"/>
      <c r="E42" s="349"/>
      <c r="F42" s="350"/>
      <c r="G42" s="23">
        <f>SUM(G41:G41)</f>
        <v>70000</v>
      </c>
      <c r="H42" s="23">
        <f t="shared" ref="H42:L42" si="8">SUM(H41:H41)</f>
        <v>2009</v>
      </c>
      <c r="I42" s="23">
        <f t="shared" si="8"/>
        <v>2128</v>
      </c>
      <c r="J42" s="23">
        <f t="shared" si="8"/>
        <v>16465.75</v>
      </c>
      <c r="K42" s="23">
        <f t="shared" si="8"/>
        <v>20602.75</v>
      </c>
      <c r="L42" s="23">
        <f t="shared" si="8"/>
        <v>49397.25</v>
      </c>
      <c r="M42" s="341"/>
    </row>
    <row r="43" spans="2:13" s="25" customFormat="1" ht="20.100000000000001" customHeight="1" thickBot="1" x14ac:dyDescent="0.3">
      <c r="B43" s="3"/>
      <c r="C43" s="12"/>
      <c r="D43" s="3"/>
      <c r="E43" s="12"/>
      <c r="F43" s="89"/>
      <c r="G43" s="2"/>
      <c r="H43" s="1"/>
      <c r="I43" s="1"/>
      <c r="J43" s="1"/>
      <c r="K43" s="1"/>
      <c r="L43" s="1"/>
    </row>
    <row r="44" spans="2:13" s="52" customFormat="1" ht="20.100000000000001" customHeight="1" thickBot="1" x14ac:dyDescent="0.3">
      <c r="B44" s="351" t="s">
        <v>134</v>
      </c>
      <c r="C44" s="352"/>
      <c r="D44" s="352"/>
      <c r="E44" s="352"/>
      <c r="F44" s="352"/>
      <c r="G44" s="352"/>
      <c r="H44" s="352"/>
      <c r="I44" s="352"/>
      <c r="J44" s="352"/>
      <c r="K44" s="352"/>
      <c r="L44" s="353"/>
    </row>
    <row r="45" spans="2:13" s="25" customFormat="1" ht="27.75" customHeight="1" x14ac:dyDescent="0.25">
      <c r="B45" s="58">
        <f>+B41+1</f>
        <v>12</v>
      </c>
      <c r="C45" s="57" t="s">
        <v>49</v>
      </c>
      <c r="D45" s="58" t="s">
        <v>336</v>
      </c>
      <c r="E45" s="74" t="s">
        <v>157</v>
      </c>
      <c r="F45" s="60" t="s">
        <v>97</v>
      </c>
      <c r="G45" s="53">
        <v>34750</v>
      </c>
      <c r="H45" s="43">
        <v>997.32499999999982</v>
      </c>
      <c r="I45" s="43">
        <v>1056.4000000000001</v>
      </c>
      <c r="J45" s="43">
        <v>8174.0687499999985</v>
      </c>
      <c r="K45" s="43">
        <f>SUM(H45:J45)</f>
        <v>10227.793749999999</v>
      </c>
      <c r="L45" s="44">
        <f>+G45-K45</f>
        <v>24522.206250000003</v>
      </c>
    </row>
    <row r="46" spans="2:13" s="25" customFormat="1" ht="20.100000000000001" customHeight="1" x14ac:dyDescent="0.25">
      <c r="B46" s="348" t="s">
        <v>99</v>
      </c>
      <c r="C46" s="349"/>
      <c r="D46" s="349"/>
      <c r="E46" s="349"/>
      <c r="F46" s="350"/>
      <c r="G46" s="23">
        <f t="shared" ref="G46:L46" si="9">SUM(G45:G45)</f>
        <v>34750</v>
      </c>
      <c r="H46" s="23">
        <f t="shared" si="9"/>
        <v>997.32499999999982</v>
      </c>
      <c r="I46" s="23">
        <f t="shared" si="9"/>
        <v>1056.4000000000001</v>
      </c>
      <c r="J46" s="23">
        <f t="shared" si="9"/>
        <v>8174.0687499999985</v>
      </c>
      <c r="K46" s="23">
        <f t="shared" si="9"/>
        <v>10227.793749999999</v>
      </c>
      <c r="L46" s="23">
        <f t="shared" si="9"/>
        <v>24522.206250000003</v>
      </c>
      <c r="M46" s="341"/>
    </row>
    <row r="47" spans="2:13" s="35" customFormat="1" ht="20.100000000000001" customHeight="1" thickBot="1" x14ac:dyDescent="0.3">
      <c r="B47" s="34"/>
      <c r="C47" s="34"/>
      <c r="D47" s="34"/>
      <c r="E47" s="34"/>
      <c r="F47" s="34"/>
      <c r="G47" s="2"/>
      <c r="H47" s="1"/>
      <c r="I47" s="1"/>
      <c r="J47" s="1"/>
      <c r="K47" s="1"/>
      <c r="L47" s="1"/>
    </row>
    <row r="48" spans="2:13" s="25" customFormat="1" ht="31.5" customHeight="1" thickBot="1" x14ac:dyDescent="0.3">
      <c r="B48" s="358" t="s">
        <v>572</v>
      </c>
      <c r="C48" s="359"/>
      <c r="D48" s="359"/>
      <c r="E48" s="359"/>
      <c r="F48" s="359"/>
      <c r="G48" s="359"/>
      <c r="H48" s="359"/>
      <c r="I48" s="359"/>
      <c r="J48" s="359"/>
      <c r="K48" s="359"/>
      <c r="L48" s="360"/>
    </row>
    <row r="49" spans="2:13" customFormat="1" ht="33" customHeight="1" x14ac:dyDescent="0.25">
      <c r="B49" s="22">
        <f>+B45+1</f>
        <v>13</v>
      </c>
      <c r="C49" s="54" t="s">
        <v>462</v>
      </c>
      <c r="D49" s="22" t="s">
        <v>336</v>
      </c>
      <c r="E49" s="55" t="s">
        <v>573</v>
      </c>
      <c r="F49" s="60" t="s">
        <v>463</v>
      </c>
      <c r="G49" s="56">
        <v>55000</v>
      </c>
      <c r="H49" s="43">
        <f>+G49*2.87%</f>
        <v>1578.5</v>
      </c>
      <c r="I49" s="43">
        <f>+G49*3.04%</f>
        <v>1672</v>
      </c>
      <c r="J49" s="48">
        <v>12937.374999999998</v>
      </c>
      <c r="K49" s="43">
        <f>SUM(H49:J49)</f>
        <v>16187.874999999998</v>
      </c>
      <c r="L49" s="49">
        <f>+G49-K49</f>
        <v>38812.125</v>
      </c>
    </row>
    <row r="50" spans="2:13" customFormat="1" ht="20.100000000000001" customHeight="1" x14ac:dyDescent="0.25">
      <c r="B50" s="348" t="s">
        <v>99</v>
      </c>
      <c r="C50" s="349"/>
      <c r="D50" s="349"/>
      <c r="E50" s="349"/>
      <c r="F50" s="350"/>
      <c r="G50" s="23">
        <f>SUM(G49)</f>
        <v>55000</v>
      </c>
      <c r="H50" s="23">
        <f t="shared" ref="H50:L50" si="10">SUM(H48:H49)</f>
        <v>1578.5</v>
      </c>
      <c r="I50" s="23">
        <f t="shared" si="10"/>
        <v>1672</v>
      </c>
      <c r="J50" s="23">
        <f t="shared" si="10"/>
        <v>12937.374999999998</v>
      </c>
      <c r="K50" s="23">
        <f t="shared" si="10"/>
        <v>16187.874999999998</v>
      </c>
      <c r="L50" s="23">
        <f t="shared" si="10"/>
        <v>38812.125</v>
      </c>
      <c r="M50" s="344"/>
    </row>
    <row r="51" spans="2:13" customFormat="1" ht="20.100000000000001" customHeight="1" thickBot="1" x14ac:dyDescent="0.3">
      <c r="B51" s="34"/>
      <c r="C51" s="34"/>
      <c r="D51" s="34"/>
      <c r="E51" s="34"/>
      <c r="F51" s="34"/>
      <c r="G51" s="2"/>
      <c r="H51" s="1"/>
      <c r="I51" s="1"/>
      <c r="J51" s="1"/>
      <c r="K51" s="1"/>
      <c r="L51" s="1"/>
    </row>
    <row r="52" spans="2:13" customFormat="1" ht="29.25" customHeight="1" thickBot="1" x14ac:dyDescent="0.3">
      <c r="B52" s="351" t="s">
        <v>138</v>
      </c>
      <c r="C52" s="352"/>
      <c r="D52" s="352"/>
      <c r="E52" s="352"/>
      <c r="F52" s="352"/>
      <c r="G52" s="352"/>
      <c r="H52" s="352"/>
      <c r="I52" s="352"/>
      <c r="J52" s="352"/>
      <c r="K52" s="352"/>
      <c r="L52" s="353"/>
    </row>
    <row r="53" spans="2:13" s="25" customFormat="1" ht="33.6" customHeight="1" x14ac:dyDescent="0.25">
      <c r="B53" s="22">
        <f>+B49+1</f>
        <v>14</v>
      </c>
      <c r="C53" s="54" t="s">
        <v>373</v>
      </c>
      <c r="D53" s="22" t="s">
        <v>335</v>
      </c>
      <c r="E53" s="233" t="s">
        <v>374</v>
      </c>
      <c r="F53" s="60" t="s">
        <v>165</v>
      </c>
      <c r="G53" s="48">
        <v>75000</v>
      </c>
      <c r="H53" s="43">
        <f>+G53*2.87%</f>
        <v>2152.5</v>
      </c>
      <c r="I53" s="43">
        <f>+G53*3.04%</f>
        <v>2280</v>
      </c>
      <c r="J53" s="48">
        <v>17641.88</v>
      </c>
      <c r="K53" s="43">
        <f>SUM(H53:J53)</f>
        <v>22074.38</v>
      </c>
      <c r="L53" s="44">
        <f>+G53-K53</f>
        <v>52925.619999999995</v>
      </c>
    </row>
    <row r="54" spans="2:13" s="35" customFormat="1" ht="20.100000000000001" customHeight="1" x14ac:dyDescent="0.25">
      <c r="B54" s="348" t="s">
        <v>99</v>
      </c>
      <c r="C54" s="349"/>
      <c r="D54" s="349"/>
      <c r="E54" s="349"/>
      <c r="F54" s="350"/>
      <c r="G54" s="23">
        <f t="shared" ref="G54:L54" si="11">SUM(G53:G53)</f>
        <v>75000</v>
      </c>
      <c r="H54" s="23">
        <f t="shared" si="11"/>
        <v>2152.5</v>
      </c>
      <c r="I54" s="23">
        <f t="shared" si="11"/>
        <v>2280</v>
      </c>
      <c r="J54" s="23">
        <f t="shared" si="11"/>
        <v>17641.88</v>
      </c>
      <c r="K54" s="23">
        <f t="shared" si="11"/>
        <v>22074.38</v>
      </c>
      <c r="L54" s="23">
        <f t="shared" si="11"/>
        <v>52925.619999999995</v>
      </c>
      <c r="M54" s="341"/>
    </row>
    <row r="55" spans="2:13" s="31" customFormat="1" ht="20.100000000000001" customHeight="1" thickBot="1" x14ac:dyDescent="0.3">
      <c r="B55"/>
      <c r="C55"/>
      <c r="D55" s="61"/>
      <c r="E55"/>
      <c r="F55" s="85"/>
      <c r="G55"/>
      <c r="H55"/>
      <c r="I55"/>
      <c r="J55"/>
      <c r="K55"/>
      <c r="L55"/>
    </row>
    <row r="56" spans="2:13" s="25" customFormat="1" ht="33" customHeight="1" thickBot="1" x14ac:dyDescent="0.3">
      <c r="B56" s="351" t="s">
        <v>139</v>
      </c>
      <c r="C56" s="352"/>
      <c r="D56" s="352"/>
      <c r="E56" s="352"/>
      <c r="F56" s="352"/>
      <c r="G56" s="352"/>
      <c r="H56" s="352"/>
      <c r="I56" s="352"/>
      <c r="J56" s="352"/>
      <c r="K56" s="352"/>
      <c r="L56" s="353"/>
    </row>
    <row r="57" spans="2:13" s="25" customFormat="1" ht="33" customHeight="1" x14ac:dyDescent="0.25">
      <c r="B57" s="22">
        <f>+B53+1</f>
        <v>15</v>
      </c>
      <c r="C57" s="54" t="s">
        <v>163</v>
      </c>
      <c r="D57" s="22" t="s">
        <v>335</v>
      </c>
      <c r="E57" s="55" t="s">
        <v>221</v>
      </c>
      <c r="F57" s="60" t="s">
        <v>97</v>
      </c>
      <c r="G57" s="48">
        <v>75000</v>
      </c>
      <c r="H57" s="43">
        <f>+G57*2.87%</f>
        <v>2152.5</v>
      </c>
      <c r="I57" s="43">
        <f>+G57*3.04%</f>
        <v>2280</v>
      </c>
      <c r="J57" s="48">
        <v>17641.88</v>
      </c>
      <c r="K57" s="43">
        <f>SUM(H57:J57)</f>
        <v>22074.38</v>
      </c>
      <c r="L57" s="44">
        <f>+G57-K57</f>
        <v>52925.619999999995</v>
      </c>
    </row>
    <row r="58" spans="2:13" s="25" customFormat="1" ht="26.25" customHeight="1" x14ac:dyDescent="0.25">
      <c r="B58" s="22">
        <f>+B57+1</f>
        <v>16</v>
      </c>
      <c r="C58" s="54" t="s">
        <v>14</v>
      </c>
      <c r="D58" s="22" t="s">
        <v>336</v>
      </c>
      <c r="E58" s="55" t="s">
        <v>118</v>
      </c>
      <c r="F58" s="60" t="s">
        <v>96</v>
      </c>
      <c r="G58" s="56">
        <v>40000</v>
      </c>
      <c r="H58" s="43">
        <f>+G58*2.87%</f>
        <v>1148</v>
      </c>
      <c r="I58" s="43">
        <f>+G58*3.04%</f>
        <v>1216</v>
      </c>
      <c r="J58" s="48">
        <v>6735.59</v>
      </c>
      <c r="K58" s="53">
        <v>9130.31</v>
      </c>
      <c r="L58" s="44">
        <f>+G58-K58</f>
        <v>30869.690000000002</v>
      </c>
    </row>
    <row r="59" spans="2:13" s="25" customFormat="1" ht="20.100000000000001" customHeight="1" thickBot="1" x14ac:dyDescent="0.3">
      <c r="B59" s="348" t="s">
        <v>99</v>
      </c>
      <c r="C59" s="349"/>
      <c r="D59" s="349"/>
      <c r="E59" s="349"/>
      <c r="F59" s="350"/>
      <c r="G59" s="23">
        <f>SUM(G57:G58)</f>
        <v>115000</v>
      </c>
      <c r="H59" s="23">
        <f>SUM(H57:H58)</f>
        <v>3300.5</v>
      </c>
      <c r="I59" s="23">
        <f>SUM(I57:I58)</f>
        <v>3496</v>
      </c>
      <c r="J59" s="23">
        <f t="shared" ref="J59:L59" si="12">SUM(J57:J58)</f>
        <v>24377.47</v>
      </c>
      <c r="K59" s="23">
        <f t="shared" si="12"/>
        <v>31204.690000000002</v>
      </c>
      <c r="L59" s="23">
        <f t="shared" si="12"/>
        <v>83795.31</v>
      </c>
      <c r="M59" s="343"/>
    </row>
    <row r="60" spans="2:13" s="35" customFormat="1" ht="20.100000000000001" customHeight="1" thickBot="1" x14ac:dyDescent="0.3">
      <c r="B60" s="351" t="s">
        <v>406</v>
      </c>
      <c r="C60" s="352"/>
      <c r="D60" s="352"/>
      <c r="E60" s="352"/>
      <c r="F60" s="352"/>
      <c r="G60" s="352"/>
      <c r="H60" s="352"/>
      <c r="I60" s="352"/>
      <c r="J60" s="352"/>
      <c r="K60" s="352"/>
      <c r="L60" s="353"/>
    </row>
    <row r="61" spans="2:13" s="35" customFormat="1" ht="31.15" customHeight="1" x14ac:dyDescent="0.25">
      <c r="B61" s="22">
        <f>+B58+1</f>
        <v>17</v>
      </c>
      <c r="C61" s="54" t="s">
        <v>79</v>
      </c>
      <c r="D61" s="22" t="s">
        <v>336</v>
      </c>
      <c r="E61" s="55" t="s">
        <v>407</v>
      </c>
      <c r="F61" s="75" t="s">
        <v>165</v>
      </c>
      <c r="G61" s="56">
        <v>65000</v>
      </c>
      <c r="H61" s="43">
        <f>+G61*2.87%</f>
        <v>1865.5</v>
      </c>
      <c r="I61" s="43">
        <f>+G61*3.04%</f>
        <v>1976</v>
      </c>
      <c r="J61" s="48">
        <v>15289.63</v>
      </c>
      <c r="K61" s="43">
        <f>SUM(H61:J61)</f>
        <v>19131.129999999997</v>
      </c>
      <c r="L61" s="44">
        <f>+G61-K61</f>
        <v>45868.87</v>
      </c>
    </row>
    <row r="62" spans="2:13" ht="20.100000000000001" customHeight="1" x14ac:dyDescent="0.25">
      <c r="B62" s="348" t="s">
        <v>99</v>
      </c>
      <c r="C62" s="349"/>
      <c r="D62" s="349"/>
      <c r="E62" s="349"/>
      <c r="F62" s="350"/>
      <c r="G62" s="23">
        <f t="shared" ref="G62:L62" si="13">SUM(G61:G61)</f>
        <v>65000</v>
      </c>
      <c r="H62" s="23">
        <f t="shared" si="13"/>
        <v>1865.5</v>
      </c>
      <c r="I62" s="23">
        <f t="shared" si="13"/>
        <v>1976</v>
      </c>
      <c r="J62" s="23">
        <f t="shared" si="13"/>
        <v>15289.63</v>
      </c>
      <c r="K62" s="23">
        <f t="shared" si="13"/>
        <v>19131.129999999997</v>
      </c>
      <c r="L62" s="23">
        <f t="shared" si="13"/>
        <v>45868.87</v>
      </c>
      <c r="M62" s="345"/>
    </row>
    <row r="63" spans="2:13" ht="20.100000000000001" customHeight="1" thickBot="1" x14ac:dyDescent="0.25"/>
    <row r="64" spans="2:13" s="35" customFormat="1" ht="20.100000000000001" customHeight="1" thickBot="1" x14ac:dyDescent="0.3">
      <c r="B64" s="351" t="s">
        <v>142</v>
      </c>
      <c r="C64" s="352"/>
      <c r="D64" s="352"/>
      <c r="E64" s="352"/>
      <c r="F64" s="352"/>
      <c r="G64" s="352"/>
      <c r="H64" s="352"/>
      <c r="I64" s="352"/>
      <c r="J64" s="352"/>
      <c r="K64" s="352"/>
      <c r="L64" s="353"/>
    </row>
    <row r="65" spans="2:13" s="31" customFormat="1" ht="31.15" customHeight="1" x14ac:dyDescent="0.25">
      <c r="B65" s="42">
        <f>B61+1</f>
        <v>18</v>
      </c>
      <c r="C65" s="57" t="s">
        <v>227</v>
      </c>
      <c r="D65" s="58" t="s">
        <v>335</v>
      </c>
      <c r="E65" s="59" t="s">
        <v>228</v>
      </c>
      <c r="F65" s="60" t="s">
        <v>97</v>
      </c>
      <c r="G65" s="53">
        <v>28500</v>
      </c>
      <c r="H65" s="48">
        <v>817.94999999999982</v>
      </c>
      <c r="I65" s="48">
        <v>866.40000000000009</v>
      </c>
      <c r="J65" s="48">
        <v>6703.91</v>
      </c>
      <c r="K65" s="43">
        <f>SUM(H65:J65)</f>
        <v>8388.26</v>
      </c>
      <c r="L65" s="44">
        <f>+G65-K65</f>
        <v>20111.739999999998</v>
      </c>
    </row>
    <row r="66" spans="2:13" customFormat="1" ht="20.100000000000001" customHeight="1" x14ac:dyDescent="0.25">
      <c r="B66" s="348" t="s">
        <v>99</v>
      </c>
      <c r="C66" s="349"/>
      <c r="D66" s="349"/>
      <c r="E66" s="349"/>
      <c r="F66" s="350"/>
      <c r="G66" s="23">
        <f t="shared" ref="G66:L66" si="14">SUM(G65:G65)</f>
        <v>28500</v>
      </c>
      <c r="H66" s="23">
        <f t="shared" si="14"/>
        <v>817.94999999999982</v>
      </c>
      <c r="I66" s="23">
        <f t="shared" si="14"/>
        <v>866.40000000000009</v>
      </c>
      <c r="J66" s="23">
        <f t="shared" si="14"/>
        <v>6703.91</v>
      </c>
      <c r="K66" s="23">
        <f t="shared" si="14"/>
        <v>8388.26</v>
      </c>
      <c r="L66" s="23">
        <f t="shared" si="14"/>
        <v>20111.739999999998</v>
      </c>
      <c r="M66" s="344"/>
    </row>
    <row r="67" spans="2:13" customFormat="1" ht="20.100000000000001" customHeight="1" thickBot="1" x14ac:dyDescent="0.3">
      <c r="B67" s="34"/>
      <c r="C67" s="34"/>
      <c r="D67" s="34"/>
      <c r="E67" s="34"/>
      <c r="F67" s="93"/>
      <c r="G67" s="26"/>
      <c r="H67" s="26"/>
      <c r="I67" s="26"/>
      <c r="J67" s="26"/>
      <c r="K67" s="26"/>
      <c r="L67" s="26"/>
    </row>
    <row r="68" spans="2:13" s="35" customFormat="1" ht="27" customHeight="1" thickBot="1" x14ac:dyDescent="0.3">
      <c r="B68" s="358" t="s">
        <v>143</v>
      </c>
      <c r="C68" s="359"/>
      <c r="D68" s="359"/>
      <c r="E68" s="359"/>
      <c r="F68" s="359"/>
      <c r="G68" s="359"/>
      <c r="H68" s="359"/>
      <c r="I68" s="359"/>
      <c r="J68" s="359"/>
      <c r="K68" s="359"/>
      <c r="L68" s="360"/>
    </row>
    <row r="69" spans="2:13" s="31" customFormat="1" ht="33" customHeight="1" x14ac:dyDescent="0.25">
      <c r="B69" s="46">
        <f>+B65+1</f>
        <v>19</v>
      </c>
      <c r="C69" s="54" t="s">
        <v>55</v>
      </c>
      <c r="D69" s="22" t="s">
        <v>336</v>
      </c>
      <c r="E69" s="55" t="s">
        <v>168</v>
      </c>
      <c r="F69" s="60" t="s">
        <v>97</v>
      </c>
      <c r="G69" s="56">
        <v>41500</v>
      </c>
      <c r="H69" s="48">
        <v>1191.0500000000002</v>
      </c>
      <c r="I69" s="48">
        <v>1261.5999999999999</v>
      </c>
      <c r="J69" s="48">
        <v>9761.84</v>
      </c>
      <c r="K69" s="43">
        <f>SUM(H69:J69)</f>
        <v>12214.49</v>
      </c>
      <c r="L69" s="49">
        <f>+G69-K69</f>
        <v>29285.510000000002</v>
      </c>
    </row>
    <row r="70" spans="2:13" customFormat="1" ht="20.100000000000001" customHeight="1" x14ac:dyDescent="0.25">
      <c r="B70" s="348" t="s">
        <v>99</v>
      </c>
      <c r="C70" s="349"/>
      <c r="D70" s="349"/>
      <c r="E70" s="349"/>
      <c r="F70" s="350"/>
      <c r="G70" s="23">
        <f>SUM(G69)</f>
        <v>41500</v>
      </c>
      <c r="H70" s="23">
        <f t="shared" ref="H70:L70" si="15">SUM(H68:H69)</f>
        <v>1191.0500000000002</v>
      </c>
      <c r="I70" s="23">
        <f t="shared" si="15"/>
        <v>1261.5999999999999</v>
      </c>
      <c r="J70" s="23">
        <f t="shared" si="15"/>
        <v>9761.84</v>
      </c>
      <c r="K70" s="23">
        <f t="shared" si="15"/>
        <v>12214.49</v>
      </c>
      <c r="L70" s="23">
        <f t="shared" si="15"/>
        <v>29285.510000000002</v>
      </c>
      <c r="M70" s="344"/>
    </row>
    <row r="71" spans="2:13" customFormat="1" ht="20.100000000000001" customHeight="1" thickBot="1" x14ac:dyDescent="0.3">
      <c r="B71" s="34"/>
      <c r="C71" s="34"/>
      <c r="D71" s="34"/>
      <c r="E71" s="34"/>
      <c r="F71" s="93"/>
      <c r="G71" s="51"/>
      <c r="H71" s="51"/>
      <c r="I71" s="51"/>
      <c r="J71" s="51"/>
      <c r="K71" s="51"/>
      <c r="L71" s="51"/>
    </row>
    <row r="72" spans="2:13" s="35" customFormat="1" ht="35.25" customHeight="1" thickBot="1" x14ac:dyDescent="0.3">
      <c r="B72" s="358" t="s">
        <v>69</v>
      </c>
      <c r="C72" s="359"/>
      <c r="D72" s="359"/>
      <c r="E72" s="359"/>
      <c r="F72" s="359"/>
      <c r="G72" s="359"/>
      <c r="H72" s="359"/>
      <c r="I72" s="359"/>
      <c r="J72" s="359"/>
      <c r="K72" s="359"/>
      <c r="L72" s="360"/>
    </row>
    <row r="73" spans="2:13" s="35" customFormat="1" ht="31.5" customHeight="1" x14ac:dyDescent="0.25">
      <c r="B73" s="22">
        <f>+B69+1</f>
        <v>20</v>
      </c>
      <c r="C73" s="54" t="s">
        <v>9</v>
      </c>
      <c r="D73" s="22" t="s">
        <v>336</v>
      </c>
      <c r="E73" s="55" t="s">
        <v>397</v>
      </c>
      <c r="F73" s="60" t="s">
        <v>165</v>
      </c>
      <c r="G73" s="56">
        <v>5000</v>
      </c>
      <c r="H73" s="48">
        <f>+G73*2.87%</f>
        <v>143.5</v>
      </c>
      <c r="I73" s="48">
        <f>+G73*3.04%</f>
        <v>152</v>
      </c>
      <c r="J73" s="48">
        <v>1176.1300000000001</v>
      </c>
      <c r="K73" s="43">
        <f>SUM(H73:J73)</f>
        <v>1471.63</v>
      </c>
      <c r="L73" s="44">
        <f>+G73-K73</f>
        <v>3528.37</v>
      </c>
    </row>
    <row r="74" spans="2:13" s="35" customFormat="1" ht="20.100000000000001" customHeight="1" x14ac:dyDescent="0.25">
      <c r="B74" s="348" t="s">
        <v>99</v>
      </c>
      <c r="C74" s="349"/>
      <c r="D74" s="349"/>
      <c r="E74" s="349"/>
      <c r="F74" s="350"/>
      <c r="G74" s="23">
        <f t="shared" ref="G74:L74" si="16">SUM(G73:G73)</f>
        <v>5000</v>
      </c>
      <c r="H74" s="23">
        <f t="shared" si="16"/>
        <v>143.5</v>
      </c>
      <c r="I74" s="23">
        <f t="shared" si="16"/>
        <v>152</v>
      </c>
      <c r="J74" s="23">
        <f t="shared" si="16"/>
        <v>1176.1300000000001</v>
      </c>
      <c r="K74" s="23">
        <f t="shared" si="16"/>
        <v>1471.63</v>
      </c>
      <c r="L74" s="23">
        <f t="shared" si="16"/>
        <v>3528.37</v>
      </c>
      <c r="M74" s="341"/>
    </row>
    <row r="75" spans="2:13" s="25" customFormat="1" ht="20.100000000000001" customHeight="1" thickBot="1" x14ac:dyDescent="0.3">
      <c r="B75" s="34"/>
      <c r="C75" s="34"/>
      <c r="D75" s="34"/>
      <c r="E75" s="34"/>
      <c r="F75" s="93"/>
      <c r="G75" s="26"/>
      <c r="H75" s="26"/>
      <c r="I75" s="26"/>
      <c r="J75" s="26"/>
      <c r="K75" s="26"/>
      <c r="L75" s="26"/>
    </row>
    <row r="76" spans="2:13" s="25" customFormat="1" ht="37.5" customHeight="1" thickBot="1" x14ac:dyDescent="0.3">
      <c r="B76" s="351" t="s">
        <v>408</v>
      </c>
      <c r="C76" s="352"/>
      <c r="D76" s="352"/>
      <c r="E76" s="352"/>
      <c r="F76" s="352"/>
      <c r="G76" s="352"/>
      <c r="H76" s="352"/>
      <c r="I76" s="352"/>
      <c r="J76" s="352"/>
      <c r="K76" s="352"/>
      <c r="L76" s="353"/>
    </row>
    <row r="77" spans="2:13" s="25" customFormat="1" ht="29.25" customHeight="1" x14ac:dyDescent="0.25">
      <c r="B77" s="22">
        <f>B73+1</f>
        <v>21</v>
      </c>
      <c r="C77" s="54" t="s">
        <v>409</v>
      </c>
      <c r="D77" s="22" t="s">
        <v>336</v>
      </c>
      <c r="E77" s="55" t="s">
        <v>410</v>
      </c>
      <c r="F77" s="60" t="s">
        <v>165</v>
      </c>
      <c r="G77" s="48">
        <v>95000</v>
      </c>
      <c r="H77" s="43">
        <f>+G77*2.87%</f>
        <v>2726.5</v>
      </c>
      <c r="I77" s="43">
        <f>+G77*3.04%</f>
        <v>2888</v>
      </c>
      <c r="J77" s="76">
        <v>22346.38</v>
      </c>
      <c r="K77" s="43">
        <f>SUM(H77:J77)</f>
        <v>27960.880000000001</v>
      </c>
      <c r="L77" s="44">
        <f>+G77-K77</f>
        <v>67039.12</v>
      </c>
    </row>
    <row r="78" spans="2:13" s="25" customFormat="1" ht="20.100000000000001" customHeight="1" x14ac:dyDescent="0.25">
      <c r="B78" s="46">
        <f>+B77+1</f>
        <v>22</v>
      </c>
      <c r="C78" s="47" t="s">
        <v>424</v>
      </c>
      <c r="D78" s="46" t="s">
        <v>336</v>
      </c>
      <c r="E78" s="50" t="s">
        <v>425</v>
      </c>
      <c r="F78" s="75" t="s">
        <v>97</v>
      </c>
      <c r="G78" s="48">
        <v>30000</v>
      </c>
      <c r="H78" s="43">
        <f>+G78*2.87%</f>
        <v>861</v>
      </c>
      <c r="I78" s="43">
        <f>+G78*3.04%</f>
        <v>912</v>
      </c>
      <c r="J78" s="76">
        <v>5324.24</v>
      </c>
      <c r="K78" s="43">
        <v>7127.96</v>
      </c>
      <c r="L78" s="44">
        <f>+G78-K78</f>
        <v>22872.04</v>
      </c>
    </row>
    <row r="79" spans="2:13" s="25" customFormat="1" ht="20.100000000000001" customHeight="1" x14ac:dyDescent="0.25">
      <c r="B79" s="348" t="s">
        <v>99</v>
      </c>
      <c r="C79" s="349"/>
      <c r="D79" s="349"/>
      <c r="E79" s="349"/>
      <c r="F79" s="350"/>
      <c r="G79" s="23">
        <f>SUM(G77:G78)</f>
        <v>125000</v>
      </c>
      <c r="H79" s="23">
        <f t="shared" ref="H79:L79" si="17">SUM(H77:H78)</f>
        <v>3587.5</v>
      </c>
      <c r="I79" s="23">
        <f t="shared" si="17"/>
        <v>3800</v>
      </c>
      <c r="J79" s="23">
        <f t="shared" si="17"/>
        <v>27670.620000000003</v>
      </c>
      <c r="K79" s="23">
        <f t="shared" si="17"/>
        <v>35088.840000000004</v>
      </c>
      <c r="L79" s="23">
        <f t="shared" si="17"/>
        <v>89911.16</v>
      </c>
      <c r="M79" s="341"/>
    </row>
    <row r="80" spans="2:13" s="25" customFormat="1" ht="20.100000000000001" customHeight="1" thickBot="1" x14ac:dyDescent="0.3">
      <c r="B80" s="34"/>
      <c r="C80" s="34"/>
      <c r="D80" s="34"/>
      <c r="E80" s="34"/>
      <c r="F80" s="93"/>
      <c r="G80" s="26"/>
      <c r="H80" s="26"/>
      <c r="I80" s="26"/>
      <c r="J80" s="26"/>
      <c r="K80" s="26"/>
      <c r="L80" s="26"/>
    </row>
    <row r="81" spans="2:13" s="25" customFormat="1" ht="33.75" customHeight="1" thickBot="1" x14ac:dyDescent="0.3">
      <c r="B81" s="351" t="s">
        <v>70</v>
      </c>
      <c r="C81" s="352"/>
      <c r="D81" s="352"/>
      <c r="E81" s="352"/>
      <c r="F81" s="352"/>
      <c r="G81" s="352"/>
      <c r="H81" s="352"/>
      <c r="I81" s="352"/>
      <c r="J81" s="352"/>
      <c r="K81" s="352"/>
      <c r="L81" s="353"/>
    </row>
    <row r="82" spans="2:13" s="25" customFormat="1" ht="30.75" customHeight="1" x14ac:dyDescent="0.25">
      <c r="B82" s="22">
        <f>+B78+1</f>
        <v>23</v>
      </c>
      <c r="C82" s="54" t="s">
        <v>377</v>
      </c>
      <c r="D82" s="22" t="s">
        <v>336</v>
      </c>
      <c r="E82" s="55" t="s">
        <v>378</v>
      </c>
      <c r="F82" s="60" t="s">
        <v>165</v>
      </c>
      <c r="G82" s="48">
        <v>100000</v>
      </c>
      <c r="H82" s="43">
        <f>+G82*2.87%</f>
        <v>2870</v>
      </c>
      <c r="I82" s="43">
        <f>+G82*3.04%</f>
        <v>3040</v>
      </c>
      <c r="J82" s="70">
        <v>23522.5</v>
      </c>
      <c r="K82" s="43">
        <f>SUM(H82:J82)</f>
        <v>29432.5</v>
      </c>
      <c r="L82" s="44">
        <f>+G82-K82</f>
        <v>70567.5</v>
      </c>
    </row>
    <row r="83" spans="2:13" s="25" customFormat="1" ht="30" customHeight="1" x14ac:dyDescent="0.25">
      <c r="B83" s="22">
        <f>+B82+1</f>
        <v>24</v>
      </c>
      <c r="C83" s="54" t="s">
        <v>111</v>
      </c>
      <c r="D83" s="22" t="s">
        <v>336</v>
      </c>
      <c r="E83" s="55" t="s">
        <v>426</v>
      </c>
      <c r="F83" s="60" t="s">
        <v>96</v>
      </c>
      <c r="G83" s="56">
        <v>35000</v>
      </c>
      <c r="H83" s="43">
        <f>+G83*2.87%</f>
        <v>1004.5</v>
      </c>
      <c r="I83" s="43">
        <f>+G83*3.04%</f>
        <v>1064</v>
      </c>
      <c r="J83" s="70">
        <v>6252.61</v>
      </c>
      <c r="K83" s="53">
        <f>SUM(H83:J83)</f>
        <v>8321.11</v>
      </c>
      <c r="L83" s="44">
        <f>+G83-K83</f>
        <v>26678.89</v>
      </c>
    </row>
    <row r="84" spans="2:13" s="25" customFormat="1" ht="20.100000000000001" customHeight="1" x14ac:dyDescent="0.25">
      <c r="B84" s="22" t="s">
        <v>99</v>
      </c>
      <c r="C84" s="54"/>
      <c r="D84" s="22"/>
      <c r="E84" s="55"/>
      <c r="F84" s="60"/>
      <c r="G84" s="23">
        <f t="shared" ref="G84:L84" si="18">SUM(G82:G83)</f>
        <v>135000</v>
      </c>
      <c r="H84" s="23">
        <f t="shared" si="18"/>
        <v>3874.5</v>
      </c>
      <c r="I84" s="23">
        <f t="shared" si="18"/>
        <v>4104</v>
      </c>
      <c r="J84" s="23">
        <f t="shared" si="18"/>
        <v>29775.11</v>
      </c>
      <c r="K84" s="23">
        <f t="shared" si="18"/>
        <v>37753.61</v>
      </c>
      <c r="L84" s="23">
        <f t="shared" si="18"/>
        <v>97246.39</v>
      </c>
      <c r="M84" s="341"/>
    </row>
    <row r="85" spans="2:13" s="25" customFormat="1" ht="20.100000000000001" customHeight="1" thickBot="1" x14ac:dyDescent="0.3">
      <c r="B85" s="34"/>
      <c r="C85" s="34"/>
      <c r="D85" s="34"/>
      <c r="E85" s="34"/>
      <c r="F85" s="93"/>
      <c r="G85" s="26"/>
      <c r="H85" s="26"/>
      <c r="I85" s="26"/>
      <c r="J85" s="26"/>
      <c r="K85" s="26"/>
      <c r="L85" s="26"/>
    </row>
    <row r="86" spans="2:13" s="25" customFormat="1" ht="33" customHeight="1" thickBot="1" x14ac:dyDescent="0.3">
      <c r="B86" s="355" t="s">
        <v>383</v>
      </c>
      <c r="C86" s="356"/>
      <c r="D86" s="356"/>
      <c r="E86" s="356"/>
      <c r="F86" s="356"/>
      <c r="G86" s="356"/>
      <c r="H86" s="356"/>
      <c r="I86" s="356"/>
      <c r="J86" s="356"/>
      <c r="K86" s="356"/>
      <c r="L86" s="357"/>
    </row>
    <row r="87" spans="2:13" s="25" customFormat="1" ht="33.75" customHeight="1" x14ac:dyDescent="0.25">
      <c r="B87" s="22">
        <f>+B83+1</f>
        <v>25</v>
      </c>
      <c r="C87" s="54" t="s">
        <v>382</v>
      </c>
      <c r="D87" s="22" t="s">
        <v>336</v>
      </c>
      <c r="E87" s="55" t="s">
        <v>535</v>
      </c>
      <c r="F87" s="60" t="s">
        <v>165</v>
      </c>
      <c r="G87" s="56">
        <v>45000</v>
      </c>
      <c r="H87" s="48">
        <f>+G87*2.87%</f>
        <v>1291.5</v>
      </c>
      <c r="I87" s="48">
        <f>+G87*3.04%</f>
        <v>1368</v>
      </c>
      <c r="J87" s="48">
        <v>7082.58</v>
      </c>
      <c r="K87" s="43">
        <f>SUM(H87:J87)</f>
        <v>9742.08</v>
      </c>
      <c r="L87" s="43">
        <f>+G87-K87</f>
        <v>35257.919999999998</v>
      </c>
    </row>
    <row r="88" spans="2:13" s="25" customFormat="1" ht="20.100000000000001" customHeight="1" x14ac:dyDescent="0.25">
      <c r="B88" s="348" t="s">
        <v>99</v>
      </c>
      <c r="C88" s="349"/>
      <c r="D88" s="349"/>
      <c r="E88" s="349"/>
      <c r="F88" s="350"/>
      <c r="G88" s="23">
        <f t="shared" ref="G88:L88" si="19">SUM(G87:G87)</f>
        <v>45000</v>
      </c>
      <c r="H88" s="23">
        <f t="shared" si="19"/>
        <v>1291.5</v>
      </c>
      <c r="I88" s="23">
        <f t="shared" si="19"/>
        <v>1368</v>
      </c>
      <c r="J88" s="23">
        <f t="shared" si="19"/>
        <v>7082.58</v>
      </c>
      <c r="K88" s="23">
        <f t="shared" si="19"/>
        <v>9742.08</v>
      </c>
      <c r="L88" s="23">
        <f t="shared" si="19"/>
        <v>35257.919999999998</v>
      </c>
      <c r="M88" s="341"/>
    </row>
    <row r="89" spans="2:13" s="25" customFormat="1" ht="20.100000000000001" customHeight="1" thickBot="1" x14ac:dyDescent="0.3">
      <c r="B89" s="34"/>
      <c r="C89" s="34"/>
      <c r="D89" s="34"/>
      <c r="E89" s="34"/>
      <c r="F89" s="93"/>
      <c r="G89"/>
      <c r="H89"/>
      <c r="I89"/>
      <c r="J89"/>
      <c r="K89"/>
      <c r="L89"/>
    </row>
    <row r="90" spans="2:13" s="25" customFormat="1" ht="20.100000000000001" customHeight="1" thickBot="1" x14ac:dyDescent="0.3">
      <c r="B90" s="365" t="s">
        <v>247</v>
      </c>
      <c r="C90" s="366"/>
      <c r="D90" s="366"/>
      <c r="E90" s="366"/>
      <c r="F90" s="366"/>
      <c r="G90" s="366"/>
      <c r="H90" s="366"/>
      <c r="I90" s="366"/>
      <c r="J90" s="366"/>
      <c r="K90" s="366"/>
      <c r="L90" s="367"/>
    </row>
    <row r="91" spans="2:13" s="35" customFormat="1" ht="31.5" customHeight="1" thickBot="1" x14ac:dyDescent="0.3">
      <c r="B91" s="34"/>
      <c r="C91" s="34"/>
      <c r="D91" s="34"/>
      <c r="E91" s="34"/>
      <c r="F91" s="93"/>
      <c r="G91"/>
      <c r="H91"/>
      <c r="I91"/>
      <c r="J91"/>
      <c r="K91"/>
      <c r="L91"/>
    </row>
    <row r="92" spans="2:13" s="52" customFormat="1" ht="20.100000000000001" customHeight="1" thickBot="1" x14ac:dyDescent="0.3">
      <c r="B92" s="365" t="s">
        <v>544</v>
      </c>
      <c r="C92" s="366"/>
      <c r="D92" s="366"/>
      <c r="E92" s="366"/>
      <c r="F92" s="366"/>
      <c r="G92" s="366"/>
      <c r="H92" s="366"/>
      <c r="I92" s="366"/>
      <c r="J92" s="366"/>
      <c r="K92" s="366"/>
      <c r="L92" s="367"/>
    </row>
    <row r="93" spans="2:13" s="25" customFormat="1" ht="36.75" customHeight="1" x14ac:dyDescent="0.25">
      <c r="B93" s="46">
        <f>+B87+1</f>
        <v>26</v>
      </c>
      <c r="C93" s="47" t="s">
        <v>59</v>
      </c>
      <c r="D93" s="46" t="s">
        <v>336</v>
      </c>
      <c r="E93" s="287" t="s">
        <v>543</v>
      </c>
      <c r="F93" s="75" t="s">
        <v>96</v>
      </c>
      <c r="G93" s="48">
        <v>55000</v>
      </c>
      <c r="H93" s="43">
        <f>+G93*2.87%</f>
        <v>1578.5</v>
      </c>
      <c r="I93" s="43">
        <f>+G93*3.04%</f>
        <v>1672</v>
      </c>
      <c r="J93" s="48">
        <v>12886.3</v>
      </c>
      <c r="K93" s="53">
        <v>16187.88</v>
      </c>
      <c r="L93" s="44">
        <f>+G93-K93</f>
        <v>38812.120000000003</v>
      </c>
    </row>
    <row r="94" spans="2:13" s="25" customFormat="1" ht="20.100000000000001" customHeight="1" x14ac:dyDescent="0.25">
      <c r="B94" s="348" t="s">
        <v>99</v>
      </c>
      <c r="C94" s="349"/>
      <c r="D94" s="349"/>
      <c r="E94" s="349"/>
      <c r="F94" s="350"/>
      <c r="G94" s="23">
        <f>+G93</f>
        <v>55000</v>
      </c>
      <c r="H94" s="23">
        <f t="shared" ref="H94:L94" si="20">+H93</f>
        <v>1578.5</v>
      </c>
      <c r="I94" s="23">
        <f t="shared" si="20"/>
        <v>1672</v>
      </c>
      <c r="J94" s="23">
        <f t="shared" si="20"/>
        <v>12886.3</v>
      </c>
      <c r="K94" s="23">
        <f t="shared" si="20"/>
        <v>16187.88</v>
      </c>
      <c r="L94" s="23">
        <f t="shared" si="20"/>
        <v>38812.120000000003</v>
      </c>
      <c r="M94" s="343"/>
    </row>
    <row r="95" spans="2:13" s="25" customFormat="1" ht="20.100000000000001" customHeight="1" thickBot="1" x14ac:dyDescent="0.3">
      <c r="B95" s="34"/>
      <c r="C95" s="34"/>
      <c r="D95" s="34"/>
      <c r="E95" s="34"/>
      <c r="F95" s="93"/>
      <c r="G95"/>
      <c r="H95"/>
      <c r="I95"/>
      <c r="J95"/>
      <c r="K95"/>
      <c r="L95"/>
    </row>
    <row r="96" spans="2:13" s="25" customFormat="1" ht="20.100000000000001" customHeight="1" thickBot="1" x14ac:dyDescent="0.3">
      <c r="B96" s="365" t="s">
        <v>250</v>
      </c>
      <c r="C96" s="366"/>
      <c r="D96" s="366"/>
      <c r="E96" s="366"/>
      <c r="F96" s="366"/>
      <c r="G96" s="366"/>
      <c r="H96" s="366"/>
      <c r="I96" s="366"/>
      <c r="J96" s="366"/>
      <c r="K96" s="366"/>
      <c r="L96" s="367"/>
    </row>
    <row r="97" spans="2:14" s="25" customFormat="1" ht="28.5" customHeight="1" x14ac:dyDescent="0.25">
      <c r="B97" s="46">
        <f>+B93+1</f>
        <v>27</v>
      </c>
      <c r="C97" s="47" t="s">
        <v>481</v>
      </c>
      <c r="D97" s="46" t="s">
        <v>336</v>
      </c>
      <c r="E97" s="287" t="s">
        <v>491</v>
      </c>
      <c r="F97" s="75" t="s">
        <v>97</v>
      </c>
      <c r="G97" s="48">
        <v>45000</v>
      </c>
      <c r="H97" s="43">
        <f>+G97*2.87%</f>
        <v>1291.5</v>
      </c>
      <c r="I97" s="43">
        <f>+G97*3.04%</f>
        <v>1368</v>
      </c>
      <c r="J97" s="43">
        <v>10585.13</v>
      </c>
      <c r="K97" s="43">
        <f>SUM(H97:J97)</f>
        <v>13244.63</v>
      </c>
      <c r="L97" s="44">
        <f>+G97-K97</f>
        <v>31755.370000000003</v>
      </c>
    </row>
    <row r="98" spans="2:14" s="25" customFormat="1" ht="20.100000000000001" customHeight="1" x14ac:dyDescent="0.25">
      <c r="B98" s="348" t="s">
        <v>99</v>
      </c>
      <c r="C98" s="349"/>
      <c r="D98" s="349"/>
      <c r="E98" s="349"/>
      <c r="F98" s="350"/>
      <c r="G98" s="23">
        <f>SUM(G97:G97)</f>
        <v>45000</v>
      </c>
      <c r="H98" s="23">
        <f t="shared" ref="H98:L98" si="21">SUM(H97:H97)</f>
        <v>1291.5</v>
      </c>
      <c r="I98" s="23">
        <f t="shared" si="21"/>
        <v>1368</v>
      </c>
      <c r="J98" s="23">
        <f t="shared" si="21"/>
        <v>10585.13</v>
      </c>
      <c r="K98" s="23">
        <f t="shared" si="21"/>
        <v>13244.63</v>
      </c>
      <c r="L98" s="23">
        <f t="shared" si="21"/>
        <v>31755.370000000003</v>
      </c>
      <c r="M98" s="341"/>
    </row>
    <row r="99" spans="2:14" s="45" customFormat="1" ht="20.100000000000001" customHeight="1" thickBot="1" x14ac:dyDescent="0.3">
      <c r="B99" s="34"/>
      <c r="C99" s="34"/>
      <c r="D99" s="34"/>
      <c r="E99" s="34"/>
      <c r="F99" s="93"/>
      <c r="G99"/>
      <c r="H99"/>
      <c r="I99"/>
      <c r="J99"/>
      <c r="K99"/>
      <c r="L99"/>
    </row>
    <row r="100" spans="2:14" s="45" customFormat="1" ht="20.100000000000001" customHeight="1" thickBot="1" x14ac:dyDescent="0.3">
      <c r="B100" s="365" t="s">
        <v>146</v>
      </c>
      <c r="C100" s="366"/>
      <c r="D100" s="366"/>
      <c r="E100" s="366"/>
      <c r="F100" s="366"/>
      <c r="G100" s="366"/>
      <c r="H100" s="366"/>
      <c r="I100" s="366"/>
      <c r="J100" s="366"/>
      <c r="K100" s="366"/>
      <c r="L100" s="367"/>
    </row>
    <row r="101" spans="2:14" s="25" customFormat="1" ht="27.75" customHeight="1" x14ac:dyDescent="0.25">
      <c r="B101" s="22">
        <f>+B97+1</f>
        <v>28</v>
      </c>
      <c r="C101" s="54" t="s">
        <v>375</v>
      </c>
      <c r="D101" s="22" t="s">
        <v>335</v>
      </c>
      <c r="E101" s="60" t="s">
        <v>376</v>
      </c>
      <c r="F101" s="60" t="s">
        <v>165</v>
      </c>
      <c r="G101" s="48">
        <v>90000</v>
      </c>
      <c r="H101" s="43">
        <f>+G101*2.87%</f>
        <v>2583</v>
      </c>
      <c r="I101" s="43">
        <f>+G101*3.04%</f>
        <v>2736</v>
      </c>
      <c r="J101" s="43">
        <v>20380.04</v>
      </c>
      <c r="K101" s="43">
        <f>SUM(H101:J101)</f>
        <v>25699.040000000001</v>
      </c>
      <c r="L101" s="44">
        <f>+G101-K101</f>
        <v>64300.959999999999</v>
      </c>
    </row>
    <row r="102" spans="2:14" s="25" customFormat="1" ht="20.100000000000001" customHeight="1" x14ac:dyDescent="0.25">
      <c r="B102" s="348" t="s">
        <v>99</v>
      </c>
      <c r="C102" s="349"/>
      <c r="D102" s="349"/>
      <c r="E102" s="349"/>
      <c r="F102" s="350"/>
      <c r="G102" s="23">
        <f t="shared" ref="G102:L102" si="22">SUM(G101:G101)</f>
        <v>90000</v>
      </c>
      <c r="H102" s="23">
        <f t="shared" si="22"/>
        <v>2583</v>
      </c>
      <c r="I102" s="23">
        <f t="shared" si="22"/>
        <v>2736</v>
      </c>
      <c r="J102" s="23">
        <f t="shared" si="22"/>
        <v>20380.04</v>
      </c>
      <c r="K102" s="23">
        <f t="shared" si="22"/>
        <v>25699.040000000001</v>
      </c>
      <c r="L102" s="23">
        <f t="shared" si="22"/>
        <v>64300.959999999999</v>
      </c>
      <c r="M102" s="341"/>
    </row>
    <row r="103" spans="2:14" s="45" customFormat="1" ht="20.100000000000001" customHeight="1" thickBot="1" x14ac:dyDescent="0.3">
      <c r="B103" s="34"/>
      <c r="C103" s="34"/>
      <c r="D103" s="34"/>
      <c r="E103" s="34"/>
      <c r="F103" s="93"/>
      <c r="G103" s="26"/>
      <c r="H103" s="26"/>
      <c r="I103" s="26"/>
      <c r="J103" s="26"/>
      <c r="K103" s="26"/>
      <c r="L103" s="26"/>
    </row>
    <row r="104" spans="2:14" s="45" customFormat="1" ht="20.100000000000001" customHeight="1" thickBot="1" x14ac:dyDescent="0.3">
      <c r="B104" s="358" t="s">
        <v>258</v>
      </c>
      <c r="C104" s="359"/>
      <c r="D104" s="359"/>
      <c r="E104" s="359"/>
      <c r="F104" s="359"/>
      <c r="G104" s="359"/>
      <c r="H104" s="359"/>
      <c r="I104" s="359"/>
      <c r="J104" s="359"/>
      <c r="K104" s="359"/>
      <c r="L104" s="360"/>
    </row>
    <row r="105" spans="2:14" s="25" customFormat="1" ht="33" customHeight="1" x14ac:dyDescent="0.25">
      <c r="B105" s="46">
        <f>+B101+1</f>
        <v>29</v>
      </c>
      <c r="C105" s="54" t="s">
        <v>120</v>
      </c>
      <c r="D105" s="22" t="s">
        <v>335</v>
      </c>
      <c r="E105" s="54" t="s">
        <v>339</v>
      </c>
      <c r="F105" s="60" t="s">
        <v>96</v>
      </c>
      <c r="G105" s="48">
        <v>35000</v>
      </c>
      <c r="H105" s="43">
        <f>+G105*2.87%</f>
        <v>1004.5</v>
      </c>
      <c r="I105" s="43">
        <f>+G105*3.04%</f>
        <v>1064</v>
      </c>
      <c r="J105" s="48">
        <v>7193.51</v>
      </c>
      <c r="K105" s="53">
        <f>SUM(H105:J105)</f>
        <v>9262.01</v>
      </c>
      <c r="L105" s="44">
        <f>+G105-K105</f>
        <v>25737.989999999998</v>
      </c>
    </row>
    <row r="106" spans="2:14" s="25" customFormat="1" ht="20.100000000000001" customHeight="1" x14ac:dyDescent="0.25">
      <c r="B106" s="348" t="s">
        <v>99</v>
      </c>
      <c r="C106" s="349"/>
      <c r="D106" s="349"/>
      <c r="E106" s="349"/>
      <c r="F106" s="350"/>
      <c r="G106" s="23">
        <f t="shared" ref="G106:L106" si="23">SUM(G105:G105)</f>
        <v>35000</v>
      </c>
      <c r="H106" s="23">
        <f t="shared" si="23"/>
        <v>1004.5</v>
      </c>
      <c r="I106" s="23">
        <f t="shared" si="23"/>
        <v>1064</v>
      </c>
      <c r="J106" s="23">
        <f t="shared" si="23"/>
        <v>7193.51</v>
      </c>
      <c r="K106" s="23">
        <f t="shared" si="23"/>
        <v>9262.01</v>
      </c>
      <c r="L106" s="23">
        <f t="shared" si="23"/>
        <v>25737.989999999998</v>
      </c>
      <c r="M106" s="346"/>
      <c r="N106" s="346"/>
    </row>
    <row r="107" spans="2:14" s="25" customFormat="1" ht="20.100000000000001" customHeight="1" thickBot="1" x14ac:dyDescent="0.3">
      <c r="B107" s="34"/>
      <c r="C107" s="34"/>
      <c r="D107" s="34"/>
      <c r="E107" s="34"/>
      <c r="F107" s="93"/>
      <c r="G107" s="26"/>
      <c r="H107" s="26"/>
      <c r="I107" s="26"/>
      <c r="J107" s="26"/>
      <c r="K107" s="26"/>
      <c r="L107" s="26"/>
    </row>
    <row r="108" spans="2:14" s="25" customFormat="1" ht="20.100000000000001" customHeight="1" thickBot="1" x14ac:dyDescent="0.3">
      <c r="B108" s="358" t="s">
        <v>12</v>
      </c>
      <c r="C108" s="359"/>
      <c r="D108" s="359"/>
      <c r="E108" s="359"/>
      <c r="F108" s="359"/>
      <c r="G108" s="359"/>
      <c r="H108" s="359"/>
      <c r="I108" s="359"/>
      <c r="J108" s="359"/>
      <c r="K108" s="359"/>
      <c r="L108" s="360"/>
    </row>
    <row r="109" spans="2:14" s="25" customFormat="1" ht="20.100000000000001" customHeight="1" x14ac:dyDescent="0.25">
      <c r="B109" s="46">
        <f>+B105+1</f>
        <v>30</v>
      </c>
      <c r="C109" s="54" t="s">
        <v>611</v>
      </c>
      <c r="D109" s="22" t="s">
        <v>336</v>
      </c>
      <c r="E109" s="54" t="s">
        <v>612</v>
      </c>
      <c r="F109" s="60" t="s">
        <v>96</v>
      </c>
      <c r="G109" s="48">
        <v>8500</v>
      </c>
      <c r="H109" s="43">
        <f>+G109*2.87%</f>
        <v>243.95</v>
      </c>
      <c r="I109" s="43">
        <f>+G109*3.04%</f>
        <v>258.39999999999998</v>
      </c>
      <c r="J109" s="48">
        <v>0</v>
      </c>
      <c r="K109" s="53">
        <f>SUM(H109:J109)</f>
        <v>502.34999999999997</v>
      </c>
      <c r="L109" s="44">
        <f>+G109-K109</f>
        <v>7997.65</v>
      </c>
    </row>
    <row r="110" spans="2:14" s="25" customFormat="1" ht="20.100000000000001" customHeight="1" x14ac:dyDescent="0.25">
      <c r="B110" s="348" t="s">
        <v>99</v>
      </c>
      <c r="C110" s="349"/>
      <c r="D110" s="349"/>
      <c r="E110" s="349"/>
      <c r="F110" s="350"/>
      <c r="G110" s="23">
        <f>SUM(G109:G109)</f>
        <v>8500</v>
      </c>
      <c r="H110" s="23">
        <f t="shared" ref="G110:L110" si="24">SUM(H109:H109)</f>
        <v>243.95</v>
      </c>
      <c r="I110" s="23">
        <f t="shared" si="24"/>
        <v>258.39999999999998</v>
      </c>
      <c r="J110" s="23">
        <f t="shared" si="24"/>
        <v>0</v>
      </c>
      <c r="K110" s="23">
        <f t="shared" si="24"/>
        <v>502.34999999999997</v>
      </c>
      <c r="L110" s="23">
        <f t="shared" si="24"/>
        <v>7997.65</v>
      </c>
      <c r="M110" s="341"/>
    </row>
    <row r="111" spans="2:14" s="25" customFormat="1" ht="20.100000000000001" customHeight="1" thickBot="1" x14ac:dyDescent="0.3">
      <c r="B111" s="34"/>
      <c r="C111" s="34"/>
      <c r="D111" s="34"/>
      <c r="E111" s="34"/>
      <c r="F111" s="93"/>
      <c r="G111" s="26"/>
      <c r="H111" s="26"/>
      <c r="I111" s="26"/>
      <c r="J111" s="26"/>
      <c r="K111" s="26"/>
      <c r="L111" s="26"/>
    </row>
    <row r="112" spans="2:14" s="45" customFormat="1" ht="27.75" customHeight="1" thickBot="1" x14ac:dyDescent="0.3">
      <c r="B112" s="355" t="s">
        <v>173</v>
      </c>
      <c r="C112" s="356"/>
      <c r="D112" s="356"/>
      <c r="E112" s="356"/>
      <c r="F112" s="356"/>
      <c r="G112" s="356"/>
      <c r="H112" s="356"/>
      <c r="I112" s="356"/>
      <c r="J112" s="356"/>
      <c r="K112" s="356"/>
      <c r="L112" s="357"/>
    </row>
    <row r="113" spans="2:14" s="25" customFormat="1" ht="31.5" customHeight="1" x14ac:dyDescent="0.25">
      <c r="B113" s="42">
        <f>+B109+1</f>
        <v>31</v>
      </c>
      <c r="C113" s="57" t="s">
        <v>63</v>
      </c>
      <c r="D113" s="58" t="s">
        <v>335</v>
      </c>
      <c r="E113" s="65" t="s">
        <v>501</v>
      </c>
      <c r="F113" s="65" t="s">
        <v>96</v>
      </c>
      <c r="G113" s="53">
        <v>40000</v>
      </c>
      <c r="H113" s="71">
        <v>1148</v>
      </c>
      <c r="I113" s="71">
        <v>1216</v>
      </c>
      <c r="J113" s="43">
        <v>8522.7999999999993</v>
      </c>
      <c r="K113" s="53">
        <f>+H113+I113+J113</f>
        <v>10886.8</v>
      </c>
      <c r="L113" s="44">
        <f>+G113-K113</f>
        <v>29113.200000000001</v>
      </c>
      <c r="M113" s="45"/>
    </row>
    <row r="114" spans="2:14" s="25" customFormat="1" ht="22.5" customHeight="1" x14ac:dyDescent="0.25">
      <c r="B114" s="46">
        <f>+B113+1</f>
        <v>32</v>
      </c>
      <c r="C114" s="54" t="s">
        <v>423</v>
      </c>
      <c r="D114" s="22" t="s">
        <v>335</v>
      </c>
      <c r="E114" s="54" t="s">
        <v>483</v>
      </c>
      <c r="F114" s="60" t="s">
        <v>97</v>
      </c>
      <c r="G114" s="56">
        <v>25000</v>
      </c>
      <c r="H114" s="43">
        <f>+G114*2.87%</f>
        <v>717.5</v>
      </c>
      <c r="I114" s="43">
        <f>+G114*3.04%</f>
        <v>760</v>
      </c>
      <c r="J114" s="48">
        <f>2566.91+1092.73</f>
        <v>3659.64</v>
      </c>
      <c r="K114" s="53">
        <f>+H114+I114+J114</f>
        <v>5137.1399999999994</v>
      </c>
      <c r="L114" s="44">
        <f>+G114-K114</f>
        <v>19862.86</v>
      </c>
      <c r="M114" s="45"/>
    </row>
    <row r="115" spans="2:14" s="25" customFormat="1" ht="20.100000000000001" customHeight="1" x14ac:dyDescent="0.25">
      <c r="B115" s="348" t="s">
        <v>99</v>
      </c>
      <c r="C115" s="349"/>
      <c r="D115" s="349"/>
      <c r="E115" s="349"/>
      <c r="F115" s="350"/>
      <c r="G115" s="23">
        <f>SUM(G113:G114)</f>
        <v>65000</v>
      </c>
      <c r="H115" s="23">
        <f t="shared" ref="H115:L115" si="25">SUM(H113:H114)</f>
        <v>1865.5</v>
      </c>
      <c r="I115" s="23">
        <f t="shared" si="25"/>
        <v>1976</v>
      </c>
      <c r="J115" s="23">
        <f t="shared" si="25"/>
        <v>12182.439999999999</v>
      </c>
      <c r="K115" s="23">
        <f t="shared" si="25"/>
        <v>16023.939999999999</v>
      </c>
      <c r="L115" s="23">
        <f t="shared" si="25"/>
        <v>48976.06</v>
      </c>
      <c r="M115" s="347"/>
      <c r="N115" s="346"/>
    </row>
    <row r="116" spans="2:14" s="45" customFormat="1" ht="20.100000000000001" customHeight="1" thickBot="1" x14ac:dyDescent="0.3">
      <c r="B116" s="34"/>
      <c r="C116" s="34"/>
      <c r="D116" s="34"/>
      <c r="E116" s="34"/>
      <c r="F116" s="93"/>
      <c r="G116" s="26"/>
      <c r="H116" s="26"/>
      <c r="I116" s="26"/>
      <c r="J116" s="26"/>
      <c r="K116" s="26"/>
      <c r="L116" s="26"/>
    </row>
    <row r="117" spans="2:14" s="45" customFormat="1" ht="20.100000000000001" customHeight="1" thickBot="1" x14ac:dyDescent="0.3">
      <c r="B117" s="358" t="s">
        <v>147</v>
      </c>
      <c r="C117" s="359"/>
      <c r="D117" s="359"/>
      <c r="E117" s="359"/>
      <c r="F117" s="359"/>
      <c r="G117" s="359"/>
      <c r="H117" s="359"/>
      <c r="I117" s="359"/>
      <c r="J117" s="359"/>
      <c r="K117" s="359"/>
      <c r="L117" s="360"/>
    </row>
    <row r="118" spans="2:14" s="25" customFormat="1" ht="20.100000000000001" customHeight="1" x14ac:dyDescent="0.25">
      <c r="B118" s="46">
        <f>+B114+1</f>
        <v>33</v>
      </c>
      <c r="C118" s="54" t="s">
        <v>31</v>
      </c>
      <c r="D118" s="22" t="s">
        <v>336</v>
      </c>
      <c r="E118" s="54" t="s">
        <v>285</v>
      </c>
      <c r="F118" s="60" t="s">
        <v>97</v>
      </c>
      <c r="G118" s="56">
        <v>12500</v>
      </c>
      <c r="H118" s="43">
        <f>+G118*2.87%</f>
        <v>358.75</v>
      </c>
      <c r="I118" s="43">
        <f>+G118*3.04%</f>
        <v>380</v>
      </c>
      <c r="J118" s="48">
        <v>0</v>
      </c>
      <c r="K118" s="53">
        <f>+I118+H118</f>
        <v>738.75</v>
      </c>
      <c r="L118" s="44">
        <f>+G118-K118</f>
        <v>11761.25</v>
      </c>
    </row>
    <row r="119" spans="2:14" s="25" customFormat="1" ht="20.100000000000001" customHeight="1" x14ac:dyDescent="0.25">
      <c r="B119" s="348" t="s">
        <v>99</v>
      </c>
      <c r="C119" s="349"/>
      <c r="D119" s="349"/>
      <c r="E119" s="349"/>
      <c r="F119" s="350"/>
      <c r="G119" s="23">
        <f>+G118</f>
        <v>12500</v>
      </c>
      <c r="H119" s="23">
        <f t="shared" ref="H119:L119" si="26">+H118</f>
        <v>358.75</v>
      </c>
      <c r="I119" s="23">
        <f t="shared" si="26"/>
        <v>380</v>
      </c>
      <c r="J119" s="23">
        <f t="shared" si="26"/>
        <v>0</v>
      </c>
      <c r="K119" s="23">
        <f t="shared" si="26"/>
        <v>738.75</v>
      </c>
      <c r="L119" s="23">
        <f t="shared" si="26"/>
        <v>11761.25</v>
      </c>
      <c r="M119" s="343"/>
    </row>
    <row r="120" spans="2:14" s="25" customFormat="1" ht="20.100000000000001" customHeight="1" thickBot="1" x14ac:dyDescent="0.3">
      <c r="B120" s="27"/>
      <c r="C120" s="32"/>
      <c r="D120" s="62"/>
      <c r="E120" s="32"/>
      <c r="F120" s="40"/>
      <c r="G120" s="33"/>
    </row>
    <row r="121" spans="2:14" ht="25.5" customHeight="1" thickBot="1" x14ac:dyDescent="0.3">
      <c r="B121" s="36"/>
      <c r="C121" s="37" t="s">
        <v>341</v>
      </c>
      <c r="D121" s="63"/>
      <c r="E121" s="38"/>
      <c r="F121" s="90"/>
      <c r="G121" s="39">
        <f>+G119+G115+G110+G106+G102+G98+G94+G88+G84+G79+G74+G70+G66+G62+G59+G54+G50+G46+G42+G38+G33+G28+G24+G21+G17+G13+G9</f>
        <v>1519750</v>
      </c>
      <c r="H121" s="39">
        <f t="shared" ref="H121:L121" si="27">+H119+H115+H110+H106+H102+H98+H94+H88+H84+H79+H74+H70+H66+H62+H59+H54+H50+H46+H42+H38+H33+H28+H24+H21+H17+H13+H9</f>
        <v>43616.824999999997</v>
      </c>
      <c r="I121" s="39">
        <f t="shared" si="27"/>
        <v>46200.400000000009</v>
      </c>
      <c r="J121" s="39">
        <f t="shared" si="27"/>
        <v>330256.3312500001</v>
      </c>
      <c r="K121" s="39">
        <f t="shared" si="27"/>
        <v>420441.48875000008</v>
      </c>
      <c r="L121" s="39">
        <f t="shared" si="27"/>
        <v>1099308.51125</v>
      </c>
      <c r="M121" s="25"/>
    </row>
    <row r="122" spans="2:14" ht="20.100000000000001" customHeight="1" x14ac:dyDescent="0.25">
      <c r="B122" s="14"/>
      <c r="C122" s="13"/>
      <c r="D122" s="14"/>
      <c r="E122" s="13"/>
      <c r="F122" s="91"/>
      <c r="G122" s="7"/>
      <c r="H122" s="8"/>
      <c r="I122" s="8"/>
      <c r="J122" s="8"/>
      <c r="K122" s="8"/>
      <c r="L122" s="81"/>
    </row>
    <row r="123" spans="2:14" ht="20.100000000000001" customHeight="1" x14ac:dyDescent="0.25">
      <c r="B123" s="14"/>
      <c r="C123" s="13"/>
      <c r="D123" s="14"/>
      <c r="E123" s="13"/>
      <c r="F123" s="91"/>
      <c r="G123" s="7"/>
      <c r="H123" s="8"/>
      <c r="I123" s="8"/>
      <c r="J123" s="8"/>
      <c r="K123" s="8"/>
      <c r="L123" s="81"/>
    </row>
    <row r="124" spans="2:14" ht="20.100000000000001" customHeight="1" thickBot="1" x14ac:dyDescent="0.25">
      <c r="C124" s="361" t="s">
        <v>625</v>
      </c>
      <c r="D124" s="361"/>
      <c r="E124" s="1"/>
      <c r="F124" s="362"/>
      <c r="G124" s="362"/>
    </row>
    <row r="125" spans="2:14" ht="38.25" customHeight="1" x14ac:dyDescent="0.2">
      <c r="C125" s="363" t="s">
        <v>639</v>
      </c>
      <c r="D125" s="363"/>
      <c r="E125" s="200"/>
      <c r="F125" s="364"/>
      <c r="G125" s="364"/>
      <c r="H125" s="317"/>
      <c r="L125" s="4"/>
    </row>
    <row r="126" spans="2:14" ht="20.100000000000001" customHeight="1" x14ac:dyDescent="0.25">
      <c r="C126" s="354"/>
      <c r="D126" s="354"/>
      <c r="E126" s="200"/>
      <c r="F126" s="354"/>
      <c r="G126" s="354"/>
    </row>
    <row r="127" spans="2:14" ht="20.100000000000001" customHeight="1" x14ac:dyDescent="0.25">
      <c r="C127" s="10"/>
      <c r="D127" s="64"/>
      <c r="E127" s="9"/>
      <c r="F127" s="94"/>
      <c r="G127" s="94"/>
    </row>
    <row r="16645" spans="3:3" ht="20.100000000000001" customHeight="1" x14ac:dyDescent="0.2">
      <c r="C16645" s="12">
        <f>SUM(C6:C16644)</f>
        <v>0</v>
      </c>
    </row>
    <row r="16647" spans="3:3" ht="20.100000000000001" customHeight="1" x14ac:dyDescent="0.2">
      <c r="C16647" s="12">
        <f>SUM(C16645)</f>
        <v>0</v>
      </c>
    </row>
    <row r="999970" spans="11:11" ht="20.100000000000001" customHeight="1" x14ac:dyDescent="0.2">
      <c r="K999970" s="5" t="e">
        <f>SUM(#REF!)</f>
        <v>#REF!</v>
      </c>
    </row>
  </sheetData>
  <mergeCells count="65">
    <mergeCell ref="B108:L108"/>
    <mergeCell ref="B110:F110"/>
    <mergeCell ref="B72:L72"/>
    <mergeCell ref="B48:L48"/>
    <mergeCell ref="B50:F50"/>
    <mergeCell ref="B62:F62"/>
    <mergeCell ref="B70:F70"/>
    <mergeCell ref="B64:L64"/>
    <mergeCell ref="B66:F66"/>
    <mergeCell ref="B68:L68"/>
    <mergeCell ref="B74:F74"/>
    <mergeCell ref="B90:L90"/>
    <mergeCell ref="B104:L104"/>
    <mergeCell ref="B106:F106"/>
    <mergeCell ref="B96:L96"/>
    <mergeCell ref="B98:F98"/>
    <mergeCell ref="B19:L19"/>
    <mergeCell ref="B21:F21"/>
    <mergeCell ref="B52:L52"/>
    <mergeCell ref="B54:F54"/>
    <mergeCell ref="B60:L60"/>
    <mergeCell ref="B59:F59"/>
    <mergeCell ref="B56:L56"/>
    <mergeCell ref="B22:L22"/>
    <mergeCell ref="B24:F24"/>
    <mergeCell ref="B11:L11"/>
    <mergeCell ref="B13:F13"/>
    <mergeCell ref="B15:L15"/>
    <mergeCell ref="B1:L1"/>
    <mergeCell ref="B2:L2"/>
    <mergeCell ref="B3:L3"/>
    <mergeCell ref="B4:C4"/>
    <mergeCell ref="H5:I5"/>
    <mergeCell ref="B100:L100"/>
    <mergeCell ref="B92:L92"/>
    <mergeCell ref="B94:F94"/>
    <mergeCell ref="B7:L7"/>
    <mergeCell ref="B9:F9"/>
    <mergeCell ref="B46:F46"/>
    <mergeCell ref="B40:L40"/>
    <mergeCell ref="B42:F42"/>
    <mergeCell ref="B44:L44"/>
    <mergeCell ref="B35:L35"/>
    <mergeCell ref="B38:F38"/>
    <mergeCell ref="B28:F28"/>
    <mergeCell ref="B30:L30"/>
    <mergeCell ref="B33:F33"/>
    <mergeCell ref="B17:F17"/>
    <mergeCell ref="B26:L26"/>
    <mergeCell ref="B102:F102"/>
    <mergeCell ref="B81:L81"/>
    <mergeCell ref="B79:F79"/>
    <mergeCell ref="B76:L76"/>
    <mergeCell ref="F126:G126"/>
    <mergeCell ref="C126:D126"/>
    <mergeCell ref="B112:L112"/>
    <mergeCell ref="B115:F115"/>
    <mergeCell ref="B117:L117"/>
    <mergeCell ref="B119:F119"/>
    <mergeCell ref="C124:D124"/>
    <mergeCell ref="F124:G124"/>
    <mergeCell ref="C125:D125"/>
    <mergeCell ref="F125:G125"/>
    <mergeCell ref="B86:L86"/>
    <mergeCell ref="B88:F88"/>
  </mergeCells>
  <pageMargins left="0.15748031496062992" right="0.15748031496062992" top="0.15748031496062992" bottom="0.15748031496062992" header="0.15748031496062992" footer="0.15748031496062992"/>
  <pageSetup paperSize="5" scale="67" fitToHeight="0" orientation="landscape" r:id="rId1"/>
  <rowBreaks count="5" manualBreakCount="5">
    <brk id="38" min="1" max="11" man="1"/>
    <brk id="66" min="1" max="11" man="1"/>
    <brk id="94" min="1" max="11" man="1"/>
    <brk id="128" min="1" max="11" man="1"/>
    <brk id="132" min="1" max="11" man="1"/>
  </rowBreaks>
  <ignoredErrors>
    <ignoredError sqref="K41 K82 K69 K77 K8 K32 K45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877147"/>
  <sheetViews>
    <sheetView showGridLines="0" zoomScale="78" zoomScaleNormal="78" zoomScaleSheetLayoutView="90" workbookViewId="0">
      <selection activeCell="C21" sqref="C21"/>
    </sheetView>
  </sheetViews>
  <sheetFormatPr baseColWidth="10" defaultColWidth="11.42578125" defaultRowHeight="39.950000000000003" customHeight="1" x14ac:dyDescent="0.2"/>
  <cols>
    <col min="1" max="1" width="6.42578125" style="113" customWidth="1"/>
    <col min="2" max="2" width="43.85546875" style="113" customWidth="1"/>
    <col min="3" max="3" width="8.85546875" style="113" customWidth="1"/>
    <col min="4" max="4" width="47.85546875" style="113" customWidth="1"/>
    <col min="5" max="5" width="54.140625" style="113" customWidth="1"/>
    <col min="6" max="6" width="18.5703125" style="126" customWidth="1"/>
    <col min="7" max="8" width="15" style="113" customWidth="1"/>
    <col min="9" max="9" width="14.140625" style="113" customWidth="1"/>
    <col min="10" max="10" width="15" style="113" customWidth="1"/>
    <col min="11" max="11" width="18.140625" style="113" customWidth="1"/>
    <col min="12" max="12" width="18.28515625" style="113" bestFit="1" customWidth="1"/>
    <col min="13" max="13" width="14.85546875" style="113" customWidth="1"/>
    <col min="14" max="14" width="18.7109375" style="113" customWidth="1"/>
    <col min="15" max="15" width="17.7109375" style="124" customWidth="1"/>
    <col min="16" max="16384" width="11.42578125" style="113"/>
  </cols>
  <sheetData>
    <row r="1" spans="1:15" ht="20.100000000000001" customHeight="1" x14ac:dyDescent="0.2">
      <c r="A1" s="377" t="s">
        <v>325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</row>
    <row r="2" spans="1:15" ht="20.100000000000001" customHeight="1" x14ac:dyDescent="0.2">
      <c r="A2" s="378" t="s">
        <v>326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</row>
    <row r="3" spans="1:15" ht="20.100000000000001" customHeight="1" x14ac:dyDescent="0.2">
      <c r="A3" s="379" t="s">
        <v>664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125"/>
    </row>
    <row r="4" spans="1:15" ht="20.100000000000001" customHeight="1" thickBot="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25"/>
    </row>
    <row r="5" spans="1:15" ht="20.100000000000001" customHeight="1" thickBot="1" x14ac:dyDescent="0.25">
      <c r="A5" s="126"/>
      <c r="B5" s="112"/>
      <c r="C5" s="112"/>
      <c r="D5" s="112"/>
      <c r="F5" s="127"/>
      <c r="G5" s="392" t="s">
        <v>95</v>
      </c>
      <c r="H5" s="393"/>
      <c r="I5" s="96"/>
      <c r="J5" s="96"/>
      <c r="K5" s="126"/>
      <c r="L5" s="126"/>
      <c r="M5" s="126"/>
      <c r="N5" s="126"/>
      <c r="O5" s="128"/>
    </row>
    <row r="6" spans="1:15" s="126" customFormat="1" ht="42" customHeight="1" x14ac:dyDescent="0.2">
      <c r="A6" s="294" t="s">
        <v>0</v>
      </c>
      <c r="B6" s="294" t="s">
        <v>293</v>
      </c>
      <c r="C6" s="294" t="s">
        <v>337</v>
      </c>
      <c r="D6" s="294" t="s">
        <v>100</v>
      </c>
      <c r="E6" s="294" t="s">
        <v>101</v>
      </c>
      <c r="F6" s="294" t="s">
        <v>98</v>
      </c>
      <c r="G6" s="294" t="s">
        <v>1</v>
      </c>
      <c r="H6" s="294" t="s">
        <v>2</v>
      </c>
      <c r="I6" s="294" t="s">
        <v>440</v>
      </c>
      <c r="J6" s="294" t="s">
        <v>437</v>
      </c>
      <c r="K6" s="294" t="s">
        <v>438</v>
      </c>
      <c r="L6" s="294" t="s">
        <v>90</v>
      </c>
      <c r="M6" s="294" t="s">
        <v>92</v>
      </c>
      <c r="N6" s="294" t="s">
        <v>3</v>
      </c>
      <c r="O6" s="294" t="s">
        <v>91</v>
      </c>
    </row>
    <row r="7" spans="1:15" s="126" customFormat="1" ht="35.1" customHeight="1" x14ac:dyDescent="0.2">
      <c r="A7" s="297">
        <v>1</v>
      </c>
      <c r="B7" s="302" t="s">
        <v>200</v>
      </c>
      <c r="C7" s="152" t="s">
        <v>336</v>
      </c>
      <c r="D7" s="153" t="s">
        <v>124</v>
      </c>
      <c r="E7" s="153" t="s">
        <v>149</v>
      </c>
      <c r="F7" s="303">
        <v>155000</v>
      </c>
      <c r="G7" s="130">
        <f t="shared" ref="G7:G13" si="0">F7*2.87%</f>
        <v>4448.5</v>
      </c>
      <c r="H7" s="130">
        <f t="shared" ref="H7:H13" si="1">+F7*3.04%</f>
        <v>4712</v>
      </c>
      <c r="I7" s="303"/>
      <c r="J7" s="130">
        <f>+G7+H7+I7</f>
        <v>9160.5</v>
      </c>
      <c r="K7" s="130">
        <f>+F7-J7</f>
        <v>145839.5</v>
      </c>
      <c r="L7" s="130">
        <f>+IF(K7*12&lt;=416220.01,0,IF(K7*12&lt;=624329.01,(((K7*12-416220.01)*0.15)/12),IF((K7*12&lt;=867123.01),(31216+0.2*(K7*12-624329.01))/12,((79776+0.25*(K7*12-867123.01))/12))))</f>
        <v>25042.812291666665</v>
      </c>
      <c r="M7" s="130">
        <v>8523.84</v>
      </c>
      <c r="N7" s="130">
        <f>+M7+L7+J7</f>
        <v>42727.152291666665</v>
      </c>
      <c r="O7" s="304">
        <f>+F7-N7</f>
        <v>112272.84770833334</v>
      </c>
    </row>
    <row r="8" spans="1:15" s="124" customFormat="1" ht="35.1" customHeight="1" x14ac:dyDescent="0.2">
      <c r="A8" s="297">
        <v>2</v>
      </c>
      <c r="B8" s="291" t="s">
        <v>214</v>
      </c>
      <c r="C8" s="108" t="s">
        <v>336</v>
      </c>
      <c r="D8" s="107" t="s">
        <v>561</v>
      </c>
      <c r="E8" s="107" t="s">
        <v>549</v>
      </c>
      <c r="F8" s="305">
        <v>155000</v>
      </c>
      <c r="G8" s="130">
        <f t="shared" si="0"/>
        <v>4448.5</v>
      </c>
      <c r="H8" s="130">
        <f t="shared" si="1"/>
        <v>4712</v>
      </c>
      <c r="I8" s="303">
        <v>1919.78</v>
      </c>
      <c r="J8" s="130">
        <f t="shared" ref="J8:J20" si="2">+G8+H8+I8</f>
        <v>11080.28</v>
      </c>
      <c r="K8" s="130">
        <f t="shared" ref="K8:K10" si="3">+F8-J8</f>
        <v>143919.72</v>
      </c>
      <c r="L8" s="130">
        <f t="shared" ref="L8:L20" si="4">+IF(K8*12&lt;=416220.01,0,IF(K8*12&lt;=624329.01,(((K8*12-416220.01)*0.15)/12),IF((K8*12&lt;=867123.01),(31216+0.2*(K8*12-624329.01))/12,((79776+0.25*(K8*12-867123.01))/12))))</f>
        <v>24562.867291666669</v>
      </c>
      <c r="M8" s="130">
        <v>25</v>
      </c>
      <c r="N8" s="130">
        <f t="shared" ref="N8:N20" si="5">+M8+L8+J8</f>
        <v>35668.147291666668</v>
      </c>
      <c r="O8" s="304">
        <f t="shared" ref="O8:O20" si="6">+F8-N8</f>
        <v>119331.85270833333</v>
      </c>
    </row>
    <row r="9" spans="1:15" s="128" customFormat="1" ht="35.1" customHeight="1" x14ac:dyDescent="0.2">
      <c r="A9" s="297">
        <v>3</v>
      </c>
      <c r="B9" s="291" t="s">
        <v>208</v>
      </c>
      <c r="C9" s="108" t="s">
        <v>336</v>
      </c>
      <c r="D9" s="107" t="s">
        <v>385</v>
      </c>
      <c r="E9" s="107" t="s">
        <v>209</v>
      </c>
      <c r="F9" s="305">
        <v>155000</v>
      </c>
      <c r="G9" s="130">
        <f t="shared" si="0"/>
        <v>4448.5</v>
      </c>
      <c r="H9" s="130">
        <f t="shared" si="1"/>
        <v>4712</v>
      </c>
      <c r="I9" s="305"/>
      <c r="J9" s="130">
        <f t="shared" si="2"/>
        <v>9160.5</v>
      </c>
      <c r="K9" s="130">
        <f t="shared" si="3"/>
        <v>145839.5</v>
      </c>
      <c r="L9" s="130">
        <v>25042.81</v>
      </c>
      <c r="M9" s="135">
        <v>25</v>
      </c>
      <c r="N9" s="130">
        <f t="shared" si="5"/>
        <v>34228.31</v>
      </c>
      <c r="O9" s="304">
        <f t="shared" si="6"/>
        <v>120771.69</v>
      </c>
    </row>
    <row r="10" spans="1:15" s="128" customFormat="1" ht="35.1" customHeight="1" x14ac:dyDescent="0.2">
      <c r="A10" s="297">
        <v>4</v>
      </c>
      <c r="B10" s="291" t="s">
        <v>44</v>
      </c>
      <c r="C10" s="108" t="s">
        <v>335</v>
      </c>
      <c r="D10" s="107" t="s">
        <v>385</v>
      </c>
      <c r="E10" s="107" t="s">
        <v>574</v>
      </c>
      <c r="F10" s="305">
        <v>110000</v>
      </c>
      <c r="G10" s="130">
        <f t="shared" si="0"/>
        <v>3157</v>
      </c>
      <c r="H10" s="130">
        <f t="shared" si="1"/>
        <v>3344</v>
      </c>
      <c r="I10" s="305"/>
      <c r="J10" s="130">
        <f t="shared" si="2"/>
        <v>6501</v>
      </c>
      <c r="K10" s="130">
        <f t="shared" si="3"/>
        <v>103499</v>
      </c>
      <c r="L10" s="130">
        <f t="shared" si="4"/>
        <v>14457.687291666667</v>
      </c>
      <c r="M10" s="135">
        <v>10290.290000000001</v>
      </c>
      <c r="N10" s="130">
        <f t="shared" si="5"/>
        <v>31248.97729166667</v>
      </c>
      <c r="O10" s="304">
        <f t="shared" si="6"/>
        <v>78751.02270833333</v>
      </c>
    </row>
    <row r="11" spans="1:15" s="128" customFormat="1" ht="35.1" customHeight="1" x14ac:dyDescent="0.2">
      <c r="A11" s="297">
        <v>5</v>
      </c>
      <c r="B11" s="291" t="s">
        <v>207</v>
      </c>
      <c r="C11" s="108" t="s">
        <v>336</v>
      </c>
      <c r="D11" s="107" t="s">
        <v>126</v>
      </c>
      <c r="E11" s="107" t="s">
        <v>574</v>
      </c>
      <c r="F11" s="305">
        <v>100000</v>
      </c>
      <c r="G11" s="135">
        <f t="shared" si="0"/>
        <v>2870</v>
      </c>
      <c r="H11" s="135">
        <f t="shared" si="1"/>
        <v>3040</v>
      </c>
      <c r="I11" s="305"/>
      <c r="J11" s="130">
        <f t="shared" si="2"/>
        <v>5910</v>
      </c>
      <c r="K11" s="135">
        <f>+F11-J11</f>
        <v>94090</v>
      </c>
      <c r="L11" s="130">
        <f t="shared" si="4"/>
        <v>12105.437291666667</v>
      </c>
      <c r="M11" s="135">
        <v>10601.62</v>
      </c>
      <c r="N11" s="130">
        <f t="shared" si="5"/>
        <v>28617.057291666668</v>
      </c>
      <c r="O11" s="304">
        <f t="shared" si="6"/>
        <v>71382.942708333328</v>
      </c>
    </row>
    <row r="12" spans="1:15" ht="35.1" customHeight="1" x14ac:dyDescent="0.2">
      <c r="A12" s="297">
        <v>6</v>
      </c>
      <c r="B12" s="291" t="s">
        <v>632</v>
      </c>
      <c r="C12" s="108" t="s">
        <v>584</v>
      </c>
      <c r="D12" s="109" t="s">
        <v>634</v>
      </c>
      <c r="E12" s="109" t="s">
        <v>84</v>
      </c>
      <c r="F12" s="135">
        <v>80000</v>
      </c>
      <c r="G12" s="135">
        <f>F12*2.87%</f>
        <v>2296</v>
      </c>
      <c r="H12" s="135">
        <f>+F12*3.04%</f>
        <v>2432</v>
      </c>
      <c r="I12" s="135"/>
      <c r="J12" s="130">
        <f>+G12+H12+I12</f>
        <v>4728</v>
      </c>
      <c r="K12" s="135">
        <f>+F12-J12</f>
        <v>75272</v>
      </c>
      <c r="L12" s="130">
        <f t="shared" si="4"/>
        <v>7400.9372916666662</v>
      </c>
      <c r="M12" s="135">
        <v>4911.82</v>
      </c>
      <c r="N12" s="130">
        <f>+M12+L12+J12</f>
        <v>17040.757291666665</v>
      </c>
      <c r="O12" s="304">
        <f>+F12-N12</f>
        <v>62959.242708333331</v>
      </c>
    </row>
    <row r="13" spans="1:15" ht="35.1" customHeight="1" x14ac:dyDescent="0.2">
      <c r="A13" s="297">
        <v>7</v>
      </c>
      <c r="B13" s="291" t="s">
        <v>193</v>
      </c>
      <c r="C13" s="108" t="s">
        <v>335</v>
      </c>
      <c r="D13" s="109" t="s">
        <v>256</v>
      </c>
      <c r="E13" s="109" t="s">
        <v>11</v>
      </c>
      <c r="F13" s="135">
        <v>70000</v>
      </c>
      <c r="G13" s="135">
        <f t="shared" si="0"/>
        <v>2009</v>
      </c>
      <c r="H13" s="135">
        <f t="shared" si="1"/>
        <v>2128</v>
      </c>
      <c r="I13" s="135">
        <v>1919.78</v>
      </c>
      <c r="J13" s="130">
        <f>+G13+H13+I13</f>
        <v>6056.78</v>
      </c>
      <c r="K13" s="135">
        <f>+F13-J13</f>
        <v>63943.22</v>
      </c>
      <c r="L13" s="130">
        <f t="shared" si="4"/>
        <v>4984.4938333333339</v>
      </c>
      <c r="M13" s="135">
        <v>26027.85</v>
      </c>
      <c r="N13" s="130">
        <f>+M13+L13+J13</f>
        <v>37069.123833333331</v>
      </c>
      <c r="O13" s="304">
        <f>+F13-N13</f>
        <v>32930.876166666669</v>
      </c>
    </row>
    <row r="14" spans="1:15" s="148" customFormat="1" ht="42.75" customHeight="1" x14ac:dyDescent="0.2">
      <c r="A14" s="297">
        <v>8</v>
      </c>
      <c r="B14" s="291" t="s">
        <v>53</v>
      </c>
      <c r="C14" s="108" t="s">
        <v>336</v>
      </c>
      <c r="D14" s="107" t="s">
        <v>616</v>
      </c>
      <c r="E14" s="107" t="s">
        <v>50</v>
      </c>
      <c r="F14" s="135">
        <v>60000</v>
      </c>
      <c r="G14" s="135">
        <f>F14*2.87%</f>
        <v>1722</v>
      </c>
      <c r="H14" s="135">
        <f>+F14*3.04%</f>
        <v>1824</v>
      </c>
      <c r="I14" s="135">
        <f>1919.78*2</f>
        <v>3839.56</v>
      </c>
      <c r="J14" s="135">
        <f>+G14+H14+I14</f>
        <v>7385.5599999999995</v>
      </c>
      <c r="K14" s="135">
        <f>+F14-J14</f>
        <v>52614.44</v>
      </c>
      <c r="L14" s="130">
        <v>0</v>
      </c>
      <c r="M14" s="135">
        <v>1090.29</v>
      </c>
      <c r="N14" s="135">
        <f>+M14+L14+J14</f>
        <v>8475.8499999999985</v>
      </c>
      <c r="O14" s="304">
        <f>+F14-N14</f>
        <v>51524.15</v>
      </c>
    </row>
    <row r="15" spans="1:15" ht="35.1" customHeight="1" x14ac:dyDescent="0.2">
      <c r="A15" s="297">
        <v>9</v>
      </c>
      <c r="B15" s="302" t="s">
        <v>331</v>
      </c>
      <c r="C15" s="152" t="s">
        <v>335</v>
      </c>
      <c r="D15" s="306" t="s">
        <v>342</v>
      </c>
      <c r="E15" s="153" t="s">
        <v>332</v>
      </c>
      <c r="F15" s="130">
        <v>44000</v>
      </c>
      <c r="G15" s="130">
        <f t="shared" ref="G15" si="7">F15*2.87%</f>
        <v>1262.8</v>
      </c>
      <c r="H15" s="130">
        <f t="shared" ref="H15" si="8">+F15*3.04%</f>
        <v>1337.6</v>
      </c>
      <c r="I15" s="130"/>
      <c r="J15" s="130">
        <f t="shared" si="2"/>
        <v>2600.3999999999996</v>
      </c>
      <c r="K15" s="130">
        <f t="shared" ref="K15:K18" si="9">+F15-J15</f>
        <v>41399.599999999999</v>
      </c>
      <c r="L15" s="130">
        <f t="shared" si="4"/>
        <v>1007.1898749999992</v>
      </c>
      <c r="M15" s="307">
        <v>25</v>
      </c>
      <c r="N15" s="130">
        <f t="shared" si="5"/>
        <v>3632.5898749999988</v>
      </c>
      <c r="O15" s="304">
        <f t="shared" si="6"/>
        <v>40367.410125000002</v>
      </c>
    </row>
    <row r="16" spans="1:15" ht="35.1" customHeight="1" x14ac:dyDescent="0.2">
      <c r="A16" s="297">
        <v>10</v>
      </c>
      <c r="B16" s="291" t="s">
        <v>30</v>
      </c>
      <c r="C16" s="108" t="s">
        <v>335</v>
      </c>
      <c r="D16" s="107" t="s">
        <v>147</v>
      </c>
      <c r="E16" s="308" t="s">
        <v>76</v>
      </c>
      <c r="F16" s="292">
        <v>36000</v>
      </c>
      <c r="G16" s="293">
        <f t="shared" ref="G16:G18" si="10">F16*2.87%</f>
        <v>1033.2</v>
      </c>
      <c r="H16" s="293">
        <f t="shared" ref="H16:H18" si="11">+F16*3.04%</f>
        <v>1094.4000000000001</v>
      </c>
      <c r="I16" s="292"/>
      <c r="J16" s="130">
        <f t="shared" si="2"/>
        <v>2127.6000000000004</v>
      </c>
      <c r="K16" s="293">
        <f t="shared" si="9"/>
        <v>33872.400000000001</v>
      </c>
      <c r="L16" s="130">
        <f t="shared" si="4"/>
        <v>0</v>
      </c>
      <c r="M16" s="135">
        <v>25</v>
      </c>
      <c r="N16" s="130">
        <f t="shared" si="5"/>
        <v>2152.6000000000004</v>
      </c>
      <c r="O16" s="304">
        <f t="shared" si="6"/>
        <v>33847.4</v>
      </c>
    </row>
    <row r="17" spans="1:15" ht="35.1" customHeight="1" x14ac:dyDescent="0.2">
      <c r="A17" s="297">
        <v>11</v>
      </c>
      <c r="B17" s="291" t="s">
        <v>27</v>
      </c>
      <c r="C17" s="108" t="s">
        <v>335</v>
      </c>
      <c r="D17" s="109" t="s">
        <v>269</v>
      </c>
      <c r="E17" s="109" t="s">
        <v>25</v>
      </c>
      <c r="F17" s="292">
        <v>35000</v>
      </c>
      <c r="G17" s="293">
        <f t="shared" si="10"/>
        <v>1004.5</v>
      </c>
      <c r="H17" s="293">
        <f t="shared" si="11"/>
        <v>1064</v>
      </c>
      <c r="I17" s="292">
        <v>0</v>
      </c>
      <c r="J17" s="130">
        <f t="shared" si="2"/>
        <v>2068.5</v>
      </c>
      <c r="K17" s="293">
        <f t="shared" si="9"/>
        <v>32931.5</v>
      </c>
      <c r="L17" s="130">
        <f t="shared" si="4"/>
        <v>0</v>
      </c>
      <c r="M17" s="135">
        <v>265</v>
      </c>
      <c r="N17" s="130">
        <f t="shared" si="5"/>
        <v>2333.5</v>
      </c>
      <c r="O17" s="304">
        <f t="shared" si="6"/>
        <v>32666.5</v>
      </c>
    </row>
    <row r="18" spans="1:15" ht="35.1" customHeight="1" x14ac:dyDescent="0.2">
      <c r="A18" s="297">
        <v>12</v>
      </c>
      <c r="B18" s="291" t="s">
        <v>275</v>
      </c>
      <c r="C18" s="108" t="s">
        <v>335</v>
      </c>
      <c r="D18" s="109" t="s">
        <v>269</v>
      </c>
      <c r="E18" s="109" t="s">
        <v>25</v>
      </c>
      <c r="F18" s="292">
        <v>35000</v>
      </c>
      <c r="G18" s="293">
        <f t="shared" si="10"/>
        <v>1004.5</v>
      </c>
      <c r="H18" s="293">
        <f t="shared" si="11"/>
        <v>1064</v>
      </c>
      <c r="I18" s="292"/>
      <c r="J18" s="130">
        <f t="shared" si="2"/>
        <v>2068.5</v>
      </c>
      <c r="K18" s="293">
        <f t="shared" si="9"/>
        <v>32931.5</v>
      </c>
      <c r="L18" s="130">
        <f t="shared" si="4"/>
        <v>0</v>
      </c>
      <c r="M18" s="135">
        <v>225</v>
      </c>
      <c r="N18" s="130">
        <f t="shared" si="5"/>
        <v>2293.5</v>
      </c>
      <c r="O18" s="304">
        <f t="shared" si="6"/>
        <v>32706.5</v>
      </c>
    </row>
    <row r="19" spans="1:15" ht="35.1" customHeight="1" x14ac:dyDescent="0.2">
      <c r="A19" s="297">
        <v>13</v>
      </c>
      <c r="B19" s="291" t="s">
        <v>17</v>
      </c>
      <c r="C19" s="108" t="s">
        <v>584</v>
      </c>
      <c r="D19" s="109" t="s">
        <v>633</v>
      </c>
      <c r="E19" s="109" t="s">
        <v>75</v>
      </c>
      <c r="F19" s="135">
        <v>32000</v>
      </c>
      <c r="G19" s="135">
        <f>F19*2.87%</f>
        <v>918.4</v>
      </c>
      <c r="H19" s="135">
        <f>+F19*3.04%</f>
        <v>972.8</v>
      </c>
      <c r="I19" s="135">
        <v>1919.78</v>
      </c>
      <c r="J19" s="130">
        <f>+G19+H19+I19</f>
        <v>3810.9799999999996</v>
      </c>
      <c r="K19" s="135">
        <f>+F19-J19</f>
        <v>28189.02</v>
      </c>
      <c r="L19" s="130">
        <f t="shared" si="4"/>
        <v>0</v>
      </c>
      <c r="M19" s="135">
        <v>225</v>
      </c>
      <c r="N19" s="130">
        <f>+M19+L19+J19</f>
        <v>4035.9799999999996</v>
      </c>
      <c r="O19" s="304">
        <f>+F19-N19</f>
        <v>27964.02</v>
      </c>
    </row>
    <row r="20" spans="1:15" ht="35.1" customHeight="1" thickBot="1" x14ac:dyDescent="0.25">
      <c r="A20" s="297">
        <v>14</v>
      </c>
      <c r="B20" s="291" t="s">
        <v>276</v>
      </c>
      <c r="C20" s="108" t="s">
        <v>335</v>
      </c>
      <c r="D20" s="109" t="s">
        <v>269</v>
      </c>
      <c r="E20" s="109" t="s">
        <v>25</v>
      </c>
      <c r="F20" s="135">
        <v>26565</v>
      </c>
      <c r="G20" s="135">
        <f t="shared" ref="G20" si="12">F20*2.87%</f>
        <v>762.41549999999995</v>
      </c>
      <c r="H20" s="135">
        <f t="shared" ref="H20" si="13">+F20*3.04%</f>
        <v>807.57600000000002</v>
      </c>
      <c r="I20" s="135"/>
      <c r="J20" s="130">
        <f t="shared" si="2"/>
        <v>1569.9915000000001</v>
      </c>
      <c r="K20" s="135">
        <f t="shared" ref="K20" si="14">+F20-J20</f>
        <v>24995.0085</v>
      </c>
      <c r="L20" s="130">
        <f t="shared" si="4"/>
        <v>0</v>
      </c>
      <c r="M20" s="135">
        <v>12276.52</v>
      </c>
      <c r="N20" s="130">
        <f t="shared" si="5"/>
        <v>13846.511500000001</v>
      </c>
      <c r="O20" s="304">
        <f t="shared" si="6"/>
        <v>12718.488499999999</v>
      </c>
    </row>
    <row r="21" spans="1:15" ht="39.950000000000003" customHeight="1" thickBot="1" x14ac:dyDescent="0.25">
      <c r="A21" s="136"/>
      <c r="B21" s="136"/>
      <c r="C21" s="119"/>
      <c r="D21" s="119"/>
      <c r="E21" s="315" t="s">
        <v>327</v>
      </c>
      <c r="F21" s="298">
        <f t="shared" ref="F21:O21" si="15">SUM(F7:F20)</f>
        <v>1093565</v>
      </c>
      <c r="G21" s="298">
        <f t="shared" si="15"/>
        <v>31385.315500000001</v>
      </c>
      <c r="H21" s="298">
        <f t="shared" si="15"/>
        <v>33244.375999999997</v>
      </c>
      <c r="I21" s="298">
        <f t="shared" si="15"/>
        <v>9598.9</v>
      </c>
      <c r="J21" s="298">
        <f t="shared" si="15"/>
        <v>74228.591499999995</v>
      </c>
      <c r="K21" s="298">
        <f t="shared" si="15"/>
        <v>1019336.4084999999</v>
      </c>
      <c r="L21" s="298">
        <f t="shared" si="15"/>
        <v>114604.23516666664</v>
      </c>
      <c r="M21" s="298">
        <f t="shared" si="15"/>
        <v>74537.23</v>
      </c>
      <c r="N21" s="298">
        <f t="shared" si="15"/>
        <v>263370.0566666667</v>
      </c>
      <c r="O21" s="298">
        <f t="shared" si="15"/>
        <v>830194.94333333336</v>
      </c>
    </row>
    <row r="22" spans="1:15" customFormat="1" ht="39.950000000000003" customHeight="1" x14ac:dyDescent="0.2">
      <c r="F22" s="126"/>
    </row>
    <row r="23" spans="1:15" ht="39.950000000000003" customHeight="1" thickBot="1" x14ac:dyDescent="0.25">
      <c r="B23" s="361" t="s">
        <v>625</v>
      </c>
      <c r="C23" s="361"/>
      <c r="D23" s="121"/>
      <c r="E23" s="394"/>
      <c r="F23" s="362"/>
      <c r="H23" s="122"/>
      <c r="I23" s="122"/>
      <c r="J23" s="122"/>
      <c r="O23" s="113"/>
    </row>
    <row r="24" spans="1:15" ht="39.950000000000003" customHeight="1" x14ac:dyDescent="0.2">
      <c r="B24" s="363" t="s">
        <v>639</v>
      </c>
      <c r="C24" s="363"/>
      <c r="D24" s="121"/>
      <c r="E24" s="364"/>
      <c r="F24" s="364"/>
      <c r="H24" s="122"/>
      <c r="I24" s="122"/>
      <c r="J24" s="122"/>
      <c r="O24" s="113"/>
    </row>
    <row r="25" spans="1:15" ht="39.950000000000003" customHeight="1" x14ac:dyDescent="0.25">
      <c r="B25" s="313"/>
      <c r="C25" s="313"/>
      <c r="D25" s="121"/>
      <c r="E25" s="314"/>
      <c r="F25" s="64"/>
      <c r="H25" s="122"/>
      <c r="I25" s="122"/>
      <c r="J25" s="122"/>
      <c r="O25" s="133"/>
    </row>
    <row r="26" spans="1:15" ht="39.950000000000003" customHeight="1" x14ac:dyDescent="0.25">
      <c r="B26" s="354"/>
      <c r="C26" s="354"/>
      <c r="E26" s="64"/>
      <c r="F26" s="64"/>
      <c r="O26" s="133"/>
    </row>
    <row r="27" spans="1:15" ht="39.950000000000003" customHeight="1" x14ac:dyDescent="0.2">
      <c r="O27" s="133"/>
    </row>
    <row r="28" spans="1:15" ht="39.950000000000003" customHeight="1" x14ac:dyDescent="0.2">
      <c r="O28" s="133"/>
    </row>
    <row r="29" spans="1:15" ht="39.950000000000003" customHeight="1" x14ac:dyDescent="0.2">
      <c r="O29" s="133"/>
    </row>
    <row r="34" spans="2:2" ht="39.950000000000003" customHeight="1" x14ac:dyDescent="0.2">
      <c r="B34" s="113" t="s">
        <v>500</v>
      </c>
    </row>
    <row r="877147" spans="13:13" ht="39.950000000000003" customHeight="1" x14ac:dyDescent="0.2">
      <c r="M877147" s="137" t="e">
        <f>SUM(#REF!)</f>
        <v>#REF!</v>
      </c>
    </row>
  </sheetData>
  <sortState xmlns:xlrd2="http://schemas.microsoft.com/office/spreadsheetml/2017/richdata2" ref="A15:O21">
    <sortCondition descending="1" ref="F15:F21"/>
  </sortState>
  <mergeCells count="9">
    <mergeCell ref="B24:C24"/>
    <mergeCell ref="B26:C26"/>
    <mergeCell ref="G5:H5"/>
    <mergeCell ref="A1:N1"/>
    <mergeCell ref="A2:N2"/>
    <mergeCell ref="A3:N3"/>
    <mergeCell ref="B23:C23"/>
    <mergeCell ref="E23:F23"/>
    <mergeCell ref="E24:F24"/>
  </mergeCells>
  <pageMargins left="0.17" right="0.17" top="0.17" bottom="0.17" header="0.17" footer="0.17"/>
  <pageSetup paperSize="5" scale="54" fitToHeight="0" orientation="landscape" r:id="rId1"/>
  <rowBreaks count="1" manualBreakCount="1">
    <brk id="51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07065-5810-4EEF-AD30-B319C9948A9B}">
  <sheetPr>
    <pageSetUpPr fitToPage="1"/>
  </sheetPr>
  <dimension ref="A1:P999849"/>
  <sheetViews>
    <sheetView showGridLines="0" zoomScale="70" zoomScaleNormal="70" zoomScaleSheetLayoutView="70" workbookViewId="0">
      <selection activeCell="H15" sqref="H15"/>
    </sheetView>
  </sheetViews>
  <sheetFormatPr baseColWidth="10" defaultColWidth="11.42578125" defaultRowHeight="35.1" customHeight="1" x14ac:dyDescent="0.2"/>
  <cols>
    <col min="1" max="1" width="6.42578125" style="113" customWidth="1"/>
    <col min="2" max="2" width="41.140625" style="144" customWidth="1"/>
    <col min="3" max="3" width="9.140625" style="113" customWidth="1"/>
    <col min="4" max="4" width="37.7109375" style="144" customWidth="1"/>
    <col min="5" max="5" width="29.28515625" style="144" customWidth="1"/>
    <col min="6" max="6" width="22.7109375" style="111" bestFit="1" customWidth="1"/>
    <col min="7" max="7" width="20.28515625" style="110" customWidth="1"/>
    <col min="8" max="8" width="24" style="110" customWidth="1"/>
    <col min="9" max="9" width="23.140625" style="110" customWidth="1"/>
    <col min="10" max="10" width="21.5703125" style="110" bestFit="1" customWidth="1"/>
    <col min="11" max="11" width="24" style="110" customWidth="1"/>
    <col min="12" max="12" width="22.28515625" style="110" customWidth="1"/>
    <col min="13" max="13" width="22.28515625" style="110" hidden="1" customWidth="1"/>
    <col min="14" max="14" width="19" style="110" customWidth="1"/>
    <col min="15" max="16" width="22.85546875" style="110" customWidth="1"/>
    <col min="17" max="17" width="17" style="110" customWidth="1"/>
    <col min="18" max="16384" width="11.42578125" style="110"/>
  </cols>
  <sheetData>
    <row r="1" spans="1:16" ht="26.25" customHeight="1" x14ac:dyDescent="0.2">
      <c r="A1" s="377" t="s">
        <v>325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</row>
    <row r="2" spans="1:16" ht="26.25" customHeight="1" x14ac:dyDescent="0.2">
      <c r="A2" s="378" t="s">
        <v>643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6" ht="21.75" customHeight="1" x14ac:dyDescent="0.2">
      <c r="A3" s="379" t="s">
        <v>664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</row>
    <row r="4" spans="1:16" ht="35.1" customHeight="1" thickBot="1" x14ac:dyDescent="0.25">
      <c r="A4" s="138"/>
      <c r="B4" s="138"/>
      <c r="C4" s="106"/>
      <c r="D4" s="143"/>
      <c r="E4" s="143"/>
      <c r="F4" s="106"/>
    </row>
    <row r="5" spans="1:16" ht="35.1" customHeight="1" thickBot="1" x14ac:dyDescent="0.25">
      <c r="A5" s="204" t="s">
        <v>431</v>
      </c>
      <c r="B5" s="205"/>
      <c r="C5" s="204"/>
      <c r="D5" s="205"/>
      <c r="E5" s="205"/>
      <c r="F5" s="206"/>
      <c r="G5" s="380" t="s">
        <v>95</v>
      </c>
      <c r="H5" s="381"/>
      <c r="I5" s="381"/>
      <c r="J5" s="382"/>
      <c r="K5" s="95"/>
      <c r="L5" s="149"/>
      <c r="M5" s="149"/>
      <c r="N5" s="149"/>
      <c r="O5" s="149"/>
      <c r="P5" s="149"/>
    </row>
    <row r="6" spans="1:16" s="207" customFormat="1" ht="35.1" customHeight="1" thickBot="1" x14ac:dyDescent="0.25">
      <c r="A6" s="19" t="s">
        <v>0</v>
      </c>
      <c r="B6" s="19" t="s">
        <v>293</v>
      </c>
      <c r="C6" s="19" t="s">
        <v>337</v>
      </c>
      <c r="D6" s="19" t="s">
        <v>349</v>
      </c>
      <c r="E6" s="19" t="s">
        <v>89</v>
      </c>
      <c r="F6" s="77" t="s">
        <v>98</v>
      </c>
      <c r="G6" s="78" t="s">
        <v>1</v>
      </c>
      <c r="H6" s="79" t="s">
        <v>2</v>
      </c>
      <c r="I6" s="82" t="s">
        <v>436</v>
      </c>
      <c r="J6" s="83" t="s">
        <v>437</v>
      </c>
      <c r="K6" s="80" t="s">
        <v>438</v>
      </c>
      <c r="L6" s="21" t="s">
        <v>90</v>
      </c>
      <c r="M6" s="21"/>
      <c r="N6" s="21" t="s">
        <v>92</v>
      </c>
      <c r="O6" s="21" t="s">
        <v>3</v>
      </c>
      <c r="P6" s="21" t="s">
        <v>91</v>
      </c>
    </row>
    <row r="7" spans="1:16" s="148" customFormat="1" ht="35.1" customHeight="1" thickBot="1" x14ac:dyDescent="0.25">
      <c r="A7" s="319" t="s">
        <v>123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</row>
    <row r="8" spans="1:16" s="149" customFormat="1" ht="46.5" customHeight="1" x14ac:dyDescent="0.2">
      <c r="A8" s="213">
        <v>1</v>
      </c>
      <c r="B8" s="214" t="s">
        <v>645</v>
      </c>
      <c r="C8" s="213" t="s">
        <v>336</v>
      </c>
      <c r="D8" s="220" t="s">
        <v>580</v>
      </c>
      <c r="E8" s="72" t="s">
        <v>644</v>
      </c>
      <c r="F8" s="215">
        <v>80000</v>
      </c>
      <c r="G8" s="216">
        <f>F8*2.87%</f>
        <v>2296</v>
      </c>
      <c r="H8" s="216">
        <f>+F8*3.04%</f>
        <v>2432</v>
      </c>
      <c r="I8" s="216">
        <v>0</v>
      </c>
      <c r="J8" s="215">
        <f>+G8+H8+I8</f>
        <v>4728</v>
      </c>
      <c r="K8" s="215">
        <f>+F8-J8</f>
        <v>75272</v>
      </c>
      <c r="L8" s="69">
        <f t="shared" ref="L8" si="0">+IF(K8*12&lt;=416220.01,0,IF(K8*12&lt;=624329.01,(((K8*12-416220.01)*0.15)/12),IF((K8*12&lt;=867123.01),(31216+0.2*(K8*12-624329.01))/12,((79776+0.25*(K8*12-867123.01))/12))))</f>
        <v>7400.9372916666662</v>
      </c>
      <c r="M8" s="215"/>
      <c r="N8" s="221">
        <v>1090.29</v>
      </c>
      <c r="O8" s="215">
        <f>+N8+I8+H8+G8+L8</f>
        <v>13219.227291666666</v>
      </c>
      <c r="P8" s="217">
        <f>+F8-O8</f>
        <v>66780.77270833333</v>
      </c>
    </row>
    <row r="9" spans="1:16" s="240" customFormat="1" ht="35.1" customHeight="1" x14ac:dyDescent="0.2">
      <c r="A9" s="223" t="s">
        <v>99</v>
      </c>
      <c r="B9" s="224"/>
      <c r="C9" s="224"/>
      <c r="D9" s="224"/>
      <c r="E9" s="239"/>
      <c r="F9" s="225">
        <f t="shared" ref="F9:L9" si="1">SUM(F8:F8)</f>
        <v>80000</v>
      </c>
      <c r="G9" s="225">
        <f t="shared" si="1"/>
        <v>2296</v>
      </c>
      <c r="H9" s="225">
        <f t="shared" si="1"/>
        <v>2432</v>
      </c>
      <c r="I9" s="225">
        <f t="shared" si="1"/>
        <v>0</v>
      </c>
      <c r="J9" s="225">
        <f t="shared" si="1"/>
        <v>4728</v>
      </c>
      <c r="K9" s="225">
        <f t="shared" si="1"/>
        <v>75272</v>
      </c>
      <c r="L9" s="225">
        <f t="shared" si="1"/>
        <v>7400.9372916666662</v>
      </c>
      <c r="M9" s="225"/>
      <c r="N9" s="225">
        <f>SUM(N8:N8)</f>
        <v>1090.29</v>
      </c>
      <c r="O9" s="225">
        <f>SUM(O8:O8)</f>
        <v>13219.227291666666</v>
      </c>
      <c r="P9" s="225">
        <f>SUM(P8:P8)</f>
        <v>66780.77270833333</v>
      </c>
    </row>
    <row r="10" spans="1:16" s="148" customFormat="1" ht="35.1" customHeight="1" x14ac:dyDescent="0.2">
      <c r="A10" s="275"/>
      <c r="B10" s="285"/>
      <c r="C10" s="286"/>
      <c r="D10" s="285"/>
      <c r="E10" s="285"/>
      <c r="G10" s="149"/>
      <c r="H10" s="149"/>
      <c r="I10" s="149"/>
      <c r="J10" s="149"/>
      <c r="K10" s="281"/>
      <c r="L10" s="149"/>
      <c r="M10" s="149"/>
      <c r="N10" s="149"/>
      <c r="O10" s="149"/>
      <c r="P10" s="149"/>
    </row>
    <row r="11" spans="1:16" s="148" customFormat="1" ht="35.1" customHeight="1" x14ac:dyDescent="0.2">
      <c r="A11" s="203"/>
      <c r="B11" s="147"/>
      <c r="C11" s="203"/>
      <c r="D11" s="147"/>
      <c r="E11" s="147"/>
      <c r="G11" s="149"/>
      <c r="H11" s="149"/>
      <c r="I11" s="149"/>
      <c r="J11" s="149"/>
      <c r="K11" s="149"/>
      <c r="L11" s="149"/>
      <c r="M11" s="149"/>
      <c r="N11" s="149"/>
      <c r="O11" s="149"/>
      <c r="P11" s="281"/>
    </row>
    <row r="12" spans="1:16" s="148" customFormat="1" ht="35.1" customHeight="1" thickBot="1" x14ac:dyDescent="0.25">
      <c r="A12" s="203"/>
      <c r="B12" s="361" t="s">
        <v>625</v>
      </c>
      <c r="C12" s="361"/>
      <c r="D12" s="120"/>
      <c r="E12" s="362"/>
      <c r="F12" s="362"/>
      <c r="G12" s="149"/>
      <c r="H12" s="149"/>
      <c r="I12" s="149"/>
      <c r="J12" s="149"/>
      <c r="K12" s="288"/>
      <c r="L12" s="149"/>
      <c r="M12" s="149"/>
      <c r="N12" s="149"/>
      <c r="O12" s="149"/>
      <c r="P12" s="149"/>
    </row>
    <row r="13" spans="1:16" s="148" customFormat="1" ht="35.1" customHeight="1" x14ac:dyDescent="0.2">
      <c r="A13" s="203"/>
      <c r="B13" s="363" t="s">
        <v>639</v>
      </c>
      <c r="C13" s="363"/>
      <c r="D13" s="120"/>
      <c r="E13" s="364"/>
      <c r="F13" s="364"/>
      <c r="G13" s="149"/>
      <c r="H13" s="149"/>
      <c r="I13" s="149"/>
      <c r="J13" s="149"/>
      <c r="K13" s="288"/>
      <c r="L13" s="149"/>
      <c r="M13" s="149"/>
      <c r="N13" s="149"/>
      <c r="O13" s="149"/>
      <c r="P13" s="149"/>
    </row>
    <row r="14" spans="1:16" s="148" customFormat="1" ht="35.1" customHeight="1" x14ac:dyDescent="0.2">
      <c r="A14" s="203"/>
      <c r="B14" s="147"/>
      <c r="C14" s="203"/>
      <c r="D14" s="147"/>
      <c r="E14" s="147"/>
      <c r="G14" s="149"/>
      <c r="H14" s="149"/>
      <c r="I14" s="149"/>
      <c r="J14" s="149"/>
      <c r="K14" s="288"/>
      <c r="L14" s="149"/>
      <c r="M14" s="149"/>
      <c r="N14" s="149"/>
      <c r="O14" s="149"/>
      <c r="P14" s="149"/>
    </row>
    <row r="15" spans="1:16" s="219" customFormat="1" ht="35.1" customHeight="1" x14ac:dyDescent="0.2">
      <c r="A15" s="203"/>
      <c r="B15" s="147"/>
      <c r="C15" s="203"/>
      <c r="D15" s="147"/>
      <c r="E15" s="147"/>
      <c r="F15" s="148"/>
      <c r="G15" s="149"/>
      <c r="H15" s="149"/>
      <c r="I15" s="149"/>
      <c r="J15" s="149"/>
      <c r="K15" s="288"/>
      <c r="L15" s="149"/>
      <c r="M15" s="149"/>
      <c r="N15" s="149"/>
      <c r="O15" s="149"/>
      <c r="P15" s="149"/>
    </row>
    <row r="16" spans="1:16" s="148" customFormat="1" ht="35.1" customHeight="1" x14ac:dyDescent="0.2">
      <c r="A16" s="203"/>
      <c r="B16" s="147"/>
      <c r="C16" s="203"/>
      <c r="D16" s="147"/>
      <c r="E16" s="147"/>
      <c r="G16" s="149"/>
      <c r="H16" s="149"/>
      <c r="I16" s="149"/>
      <c r="J16" s="149"/>
      <c r="K16" s="288"/>
      <c r="L16" s="149"/>
      <c r="M16" s="149"/>
      <c r="N16" s="149"/>
      <c r="O16" s="149"/>
      <c r="P16" s="149"/>
    </row>
    <row r="17" spans="1:16" s="148" customFormat="1" ht="35.1" customHeight="1" x14ac:dyDescent="0.2">
      <c r="A17" s="203"/>
      <c r="B17" s="147"/>
      <c r="C17" s="203"/>
      <c r="D17" s="147"/>
      <c r="E17" s="147"/>
      <c r="G17" s="149"/>
      <c r="H17" s="149"/>
      <c r="I17" s="149"/>
      <c r="J17" s="149"/>
      <c r="K17" s="288"/>
      <c r="L17" s="149"/>
      <c r="M17" s="149"/>
      <c r="N17" s="149"/>
      <c r="O17" s="149"/>
      <c r="P17" s="149"/>
    </row>
    <row r="18" spans="1:16" s="148" customFormat="1" ht="35.1" customHeight="1" x14ac:dyDescent="0.2">
      <c r="A18" s="203"/>
      <c r="B18" s="147"/>
      <c r="C18" s="203"/>
      <c r="D18" s="147"/>
      <c r="E18" s="147"/>
      <c r="G18" s="149"/>
      <c r="H18" s="149"/>
      <c r="I18" s="149"/>
      <c r="J18" s="149"/>
      <c r="K18" s="288"/>
      <c r="L18" s="149"/>
      <c r="M18" s="149"/>
      <c r="N18" s="149"/>
      <c r="O18" s="149"/>
      <c r="P18" s="149"/>
    </row>
    <row r="19" spans="1:16" s="148" customFormat="1" ht="35.1" customHeight="1" x14ac:dyDescent="0.2">
      <c r="A19" s="203"/>
      <c r="B19" s="147"/>
      <c r="C19" s="203"/>
      <c r="D19" s="147"/>
      <c r="E19" s="147"/>
      <c r="G19" s="149"/>
      <c r="H19" s="149"/>
      <c r="I19" s="149"/>
      <c r="J19" s="149"/>
      <c r="K19" s="149"/>
      <c r="L19" s="149"/>
      <c r="M19" s="149"/>
      <c r="N19" s="149"/>
      <c r="O19" s="149"/>
      <c r="P19" s="149"/>
    </row>
    <row r="20" spans="1:16" s="218" customFormat="1" ht="35.1" customHeight="1" x14ac:dyDescent="0.2">
      <c r="A20" s="203"/>
      <c r="B20" s="147"/>
      <c r="C20" s="203"/>
      <c r="D20" s="147"/>
      <c r="E20" s="147"/>
      <c r="F20" s="148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16" s="218" customFormat="1" ht="35.1" customHeight="1" x14ac:dyDescent="0.2">
      <c r="A21" s="203"/>
      <c r="B21" s="147"/>
      <c r="C21" s="203"/>
      <c r="D21" s="147"/>
      <c r="E21" s="147"/>
      <c r="F21" s="148"/>
      <c r="G21" s="149"/>
      <c r="H21" s="149"/>
      <c r="I21" s="149"/>
      <c r="J21" s="149"/>
      <c r="K21" s="149"/>
      <c r="L21" s="149"/>
      <c r="M21" s="149"/>
      <c r="N21" s="149"/>
      <c r="O21" s="149"/>
      <c r="P21" s="149"/>
    </row>
    <row r="16524" spans="2:16" s="113" customFormat="1" ht="35.1" customHeight="1" x14ac:dyDescent="0.2">
      <c r="B16524" s="144">
        <f>SUM(B6:B16523)</f>
        <v>0</v>
      </c>
      <c r="D16524" s="144"/>
      <c r="E16524" s="144"/>
      <c r="F16524" s="111"/>
      <c r="G16524" s="110"/>
      <c r="H16524" s="110"/>
      <c r="I16524" s="110"/>
      <c r="J16524" s="110"/>
      <c r="K16524" s="110"/>
      <c r="L16524" s="110"/>
      <c r="M16524" s="110"/>
      <c r="N16524" s="110"/>
      <c r="O16524" s="110"/>
      <c r="P16524" s="110"/>
    </row>
    <row r="16526" spans="2:16" s="113" customFormat="1" ht="35.1" customHeight="1" x14ac:dyDescent="0.2">
      <c r="B16526" s="144">
        <f>SUM(B16524)</f>
        <v>0</v>
      </c>
    </row>
    <row r="999849" spans="15:15" ht="35.1" customHeight="1" x14ac:dyDescent="0.2">
      <c r="O999849" s="123" t="e">
        <f>SUM(#REF!)</f>
        <v>#REF!</v>
      </c>
    </row>
  </sheetData>
  <mergeCells count="8">
    <mergeCell ref="B12:C12"/>
    <mergeCell ref="E12:F12"/>
    <mergeCell ref="B13:C13"/>
    <mergeCell ref="E13:F13"/>
    <mergeCell ref="A1:P1"/>
    <mergeCell ref="A2:P2"/>
    <mergeCell ref="A3:P3"/>
    <mergeCell ref="G5:J5"/>
  </mergeCells>
  <pageMargins left="0.23622047244094488" right="0.23622047244094488" top="0.31" bottom="0.25" header="0.31496062992125984" footer="0.26"/>
  <pageSetup paperSize="5" scale="50" fitToHeight="0" orientation="landscape" r:id="rId1"/>
  <rowBreaks count="1" manualBreakCount="1">
    <brk id="21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6b0d22-0a16-4c1a-9b76-95dfb845d415">
      <Terms xmlns="http://schemas.microsoft.com/office/infopath/2007/PartnerControls"/>
    </lcf76f155ced4ddcb4097134ff3c332f>
    <TaxCatchAll xmlns="d39205a1-5442-419a-b1e5-b39410ee3123" xsi:nil="true"/>
    <SharedWithUsers xmlns="d39205a1-5442-419a-b1e5-b39410ee3123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44F8717C9ACB448C12FDEBB3161D79" ma:contentTypeVersion="18" ma:contentTypeDescription="Create a new document." ma:contentTypeScope="" ma:versionID="7f169c88af2e83ed3f56cff7807ae97d">
  <xsd:schema xmlns:xsd="http://www.w3.org/2001/XMLSchema" xmlns:xs="http://www.w3.org/2001/XMLSchema" xmlns:p="http://schemas.microsoft.com/office/2006/metadata/properties" xmlns:ns2="bb6b0d22-0a16-4c1a-9b76-95dfb845d415" xmlns:ns3="d39205a1-5442-419a-b1e5-b39410ee3123" targetNamespace="http://schemas.microsoft.com/office/2006/metadata/properties" ma:root="true" ma:fieldsID="5dbab96737946865671203712beb5bf9" ns2:_="" ns3:_="">
    <xsd:import namespace="bb6b0d22-0a16-4c1a-9b76-95dfb845d415"/>
    <xsd:import namespace="d39205a1-5442-419a-b1e5-b39410ee3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b0d22-0a16-4c1a-9b76-95dfb845d4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5897501-dae5-4a7c-aa0b-8da91be561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205a1-5442-419a-b1e5-b39410ee312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40e8d0-a452-42f7-af61-164b7a316f91}" ma:internalName="TaxCatchAll" ma:showField="CatchAllData" ma:web="d39205a1-5442-419a-b1e5-b39410ee3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53B7AF-8626-4907-87F5-4A70941566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1DCC4A-8C20-4156-9075-D257B105D1EB}">
  <ds:schemaRefs>
    <ds:schemaRef ds:uri="http://purl.org/dc/elements/1.1/"/>
    <ds:schemaRef ds:uri="http://schemas.microsoft.com/office/2006/metadata/properties"/>
    <ds:schemaRef ds:uri="http://purl.org/dc/terms/"/>
    <ds:schemaRef ds:uri="bb6b0d22-0a16-4c1a-9b76-95dfb845d415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39205a1-5442-419a-b1e5-b39410ee312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84F242-61C2-4917-A7CA-3684ABDE08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6b0d22-0a16-4c1a-9b76-95dfb845d415"/>
    <ds:schemaRef ds:uri="d39205a1-5442-419a-b1e5-b39410ee3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9</vt:i4>
      </vt:variant>
    </vt:vector>
  </HeadingPairs>
  <TitlesOfParts>
    <vt:vector size="14" baseType="lpstr">
      <vt:lpstr>NOMINA FIJOS </vt:lpstr>
      <vt:lpstr>PERSONAL TEMPORAL</vt:lpstr>
      <vt:lpstr>SUPLENCIA FIJOS</vt:lpstr>
      <vt:lpstr>TRAMITE PENSION </vt:lpstr>
      <vt:lpstr>PROBATORIO</vt:lpstr>
      <vt:lpstr>'NOMINA FIJOS '!Área_de_impresión</vt:lpstr>
      <vt:lpstr>'PERSONAL TEMPORAL'!Área_de_impresión</vt:lpstr>
      <vt:lpstr>PROBATORIO!Área_de_impresión</vt:lpstr>
      <vt:lpstr>'SUPLENCIA FIJOS'!Área_de_impresión</vt:lpstr>
      <vt:lpstr>'TRAMITE PENSION '!Área_de_impresión</vt:lpstr>
      <vt:lpstr>'NOMINA FIJOS '!Títulos_a_imprimir</vt:lpstr>
      <vt:lpstr>'PERSONAL TEMPORAL'!Títulos_a_imprimir</vt:lpstr>
      <vt:lpstr>PROBATORIO!Títulos_a_imprimir</vt:lpstr>
      <vt:lpstr>'SUPLENCIA FIJOS'!Títulos_a_imprimir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Julian José Acosta Acosta</cp:lastModifiedBy>
  <cp:lastPrinted>2026-06-09T13:22:11Z</cp:lastPrinted>
  <dcterms:created xsi:type="dcterms:W3CDTF">2019-01-11T19:06:47Z</dcterms:created>
  <dcterms:modified xsi:type="dcterms:W3CDTF">2026-06-26T13:00:58Z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0x0101003544F8717C9ACB448C12FDEBB3161D79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Order">
    <vt:r8>11609700</vt:r8>
  </property>
</Properties>
</file>